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C8B3423-8477-4C17-93CD-089568A1FB0D}" xr6:coauthVersionLast="47" xr6:coauthVersionMax="47" xr10:uidLastSave="{00000000-0000-0000-0000-000000000000}"/>
  <bookViews>
    <workbookView xWindow="3390" yWindow="2400" windowWidth="21600" windowHeight="11835" xr2:uid="{00000000-000D-0000-FFFF-FFFF00000000}"/>
  </bookViews>
  <sheets>
    <sheet name="Расчет" sheetId="1" r:id="rId1"/>
    <sheet name="Расчет Стсо" sheetId="7" r:id="rId2"/>
    <sheet name="П3" sheetId="9" state="hidden" r:id="rId3"/>
    <sheet name="Лист1" sheetId="6" state="hidden" r:id="rId4"/>
    <sheet name="ИПЦ" sheetId="5" r:id="rId5"/>
    <sheet name="Таблица №2" sheetId="4" state="hidden" r:id="rId6"/>
    <sheet name="ДНИ" sheetId="2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25" i="1"/>
  <c r="B6" i="6"/>
  <c r="B5" i="6"/>
  <c r="B4" i="6"/>
  <c r="B3" i="6"/>
  <c r="C1" i="5"/>
  <c r="D1" i="5" s="1"/>
  <c r="E1" i="5" s="1"/>
  <c r="F1" i="5" s="1"/>
  <c r="G11" i="1" l="1"/>
  <c r="F11" i="1" s="1"/>
  <c r="G12" i="1" l="1"/>
  <c r="F12" i="1" s="1"/>
  <c r="F13" i="9" l="1"/>
  <c r="E13" i="9" s="1"/>
  <c r="P18" i="9"/>
  <c r="P17" i="9"/>
  <c r="C17" i="1"/>
  <c r="C10" i="6" l="1"/>
  <c r="Q13" i="9"/>
  <c r="X13" i="9" l="1"/>
  <c r="R13" i="9"/>
  <c r="S13" i="9" s="1"/>
  <c r="Q12" i="9"/>
  <c r="B9" i="9"/>
  <c r="G24" i="7"/>
  <c r="G18" i="7"/>
  <c r="G12" i="7"/>
  <c r="H24" i="7"/>
  <c r="H18" i="7"/>
  <c r="H12" i="7"/>
  <c r="H6" i="7"/>
  <c r="G6" i="7"/>
  <c r="T13" i="9" l="1"/>
  <c r="X12" i="9"/>
  <c r="R12" i="9"/>
  <c r="B6" i="1"/>
  <c r="B7" i="9"/>
  <c r="I18" i="7"/>
  <c r="J18" i="7" s="1"/>
  <c r="I12" i="7"/>
  <c r="J12" i="7" s="1"/>
  <c r="I24" i="7"/>
  <c r="J24" i="7" s="1"/>
  <c r="I6" i="7"/>
  <c r="J6" i="7" s="1"/>
  <c r="U13" i="9" l="1"/>
  <c r="V13" i="9" s="1"/>
  <c r="W13" i="9" s="1"/>
  <c r="S12" i="9"/>
  <c r="T12" i="9" s="1"/>
  <c r="U12" i="9" s="1"/>
  <c r="V12" i="9" s="1"/>
  <c r="W12" i="9" s="1"/>
  <c r="L13" i="9" l="1"/>
  <c r="M13" i="9"/>
  <c r="O13" i="9" s="1"/>
  <c r="C15" i="1" l="1"/>
  <c r="C19" i="1" l="1"/>
  <c r="E21" i="1"/>
  <c r="E23" i="1" s="1"/>
  <c r="C18" i="1"/>
  <c r="D14" i="2"/>
  <c r="D13" i="2"/>
  <c r="D21" i="2" s="1"/>
  <c r="C3" i="9" l="1"/>
  <c r="D20" i="2"/>
  <c r="D16" i="2"/>
  <c r="C21" i="1"/>
  <c r="C23" i="1" l="1"/>
  <c r="M12" i="1" s="1"/>
  <c r="M11" i="1" l="1"/>
  <c r="N12" i="1"/>
  <c r="O12" i="1" s="1"/>
  <c r="P12" i="1" s="1"/>
  <c r="N11" i="1" l="1"/>
  <c r="O11" i="1" s="1"/>
  <c r="P11" i="1" s="1"/>
  <c r="C3" i="1" s="1"/>
</calcChain>
</file>

<file path=xl/sharedStrings.xml><?xml version="1.0" encoding="utf-8"?>
<sst xmlns="http://schemas.openxmlformats.org/spreadsheetml/2006/main" count="335" uniqueCount="231">
  <si>
    <t>U</t>
  </si>
  <si>
    <t>МРОТ</t>
  </si>
  <si>
    <t>СНР</t>
  </si>
  <si>
    <t xml:space="preserve">Дн </t>
  </si>
  <si>
    <r>
      <t>С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1</t>
    </r>
  </si>
  <si>
    <r>
      <t>С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</si>
  <si>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С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</si>
  <si>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С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</si>
  <si>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К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1</t>
    </r>
  </si>
  <si>
    <r>
      <t>К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</si>
  <si>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К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</si>
  <si>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К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</si>
  <si>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работа в дневные часы</t>
  </si>
  <si>
    <t>работа в ночные часы</t>
  </si>
  <si>
    <t xml:space="preserve">Работа в праздники </t>
  </si>
  <si>
    <t>Работа ночью в праздники</t>
  </si>
  <si>
    <t>кол-во часов дневных</t>
  </si>
  <si>
    <t>кол-во часов в праздники</t>
  </si>
  <si>
    <t>кол-во часов ночных</t>
  </si>
  <si>
    <t>Uб</t>
  </si>
  <si>
    <t>N п/п</t>
  </si>
  <si>
    <t>Базовые коэффициенты</t>
  </si>
  <si>
    <t>1.</t>
  </si>
  <si>
    <t>Пост охраны в составе одного работника с режимом работы 24 часа</t>
  </si>
  <si>
    <t>2.</t>
  </si>
  <si>
    <t>Пост охраны в составе одного работника с режимом работы 12 часов</t>
  </si>
  <si>
    <t>3.</t>
  </si>
  <si>
    <t>Пост охраны в составе одного работника с режимом работы, отличным от 24 и 12 часов. Не более 24 часов, не менее 3 часов</t>
  </si>
  <si>
    <t>По формуле:</t>
  </si>
  <si>
    <t>Uд1</t>
  </si>
  <si>
    <t>Uд2</t>
  </si>
  <si>
    <t>Uд3</t>
  </si>
  <si>
    <t>Uд4</t>
  </si>
  <si>
    <t>Uд5</t>
  </si>
  <si>
    <t>Дополнительные коэффициенты</t>
  </si>
  <si>
    <t>Наличие спецсредств у работника</t>
  </si>
  <si>
    <t>Наличие служебного оружия у работника</t>
  </si>
  <si>
    <t>Обеспечение порядка в местах проведения массовых мероприятий</t>
  </si>
  <si>
    <t>4.</t>
  </si>
  <si>
    <t>Охрана объектов и (или) имущества, а также обеспечение внутриобъектового и пропускного режимов на объектах, в отношении которых установлены обязательные для выполнения требования к антитеррористической защищенности</t>
  </si>
  <si>
    <t>5.</t>
  </si>
  <si>
    <t>Наличие допуска к государственной тайне работника и режимно-секретного подразделения</t>
  </si>
  <si>
    <t>При этом суммарное значение дополнительных коэффициентов не может превышать 0,35</t>
  </si>
  <si>
    <t>Uд</t>
  </si>
  <si>
    <t>страховые взносы, 30,2%</t>
  </si>
  <si>
    <t xml:space="preserve">Y </t>
  </si>
  <si>
    <t>СВ1</t>
  </si>
  <si>
    <t>кол-во ночных часов в праздники</t>
  </si>
  <si>
    <t>НДС</t>
  </si>
  <si>
    <t xml:space="preserve">Кол-во дней </t>
  </si>
  <si>
    <t>Всего дней</t>
  </si>
  <si>
    <t>Робочие дни</t>
  </si>
  <si>
    <t>Выходной</t>
  </si>
  <si>
    <t>Часы</t>
  </si>
  <si>
    <t>дневные</t>
  </si>
  <si>
    <t>ночные</t>
  </si>
  <si>
    <t>Кол-во часов</t>
  </si>
  <si>
    <t>Пост</t>
  </si>
  <si>
    <t>Си день</t>
  </si>
  <si>
    <t>НМЦК по посту</t>
  </si>
  <si>
    <t>Итого НМЦК</t>
  </si>
  <si>
    <t>Приложение №1</t>
  </si>
  <si>
    <t>базовая заработная плата работника (рублей/час)</t>
  </si>
  <si>
    <t>минимальный размер оплаты труда, установленный на дату расчета НМЦК</t>
  </si>
  <si>
    <t>среднемесячное количество рабочих часов одного работника поста охраны</t>
  </si>
  <si>
    <t>доплата за работу в ночное время</t>
  </si>
  <si>
    <t>резерв на отпуск</t>
  </si>
  <si>
    <t>СВ = (БЗП + Дн + Двп + Дрк + РО) * Y</t>
  </si>
  <si>
    <t>страховые взносы</t>
  </si>
  <si>
    <t xml:space="preserve">Косвенные расходы. Устанавливаются в размере 20% </t>
  </si>
  <si>
    <t>Прибыль</t>
  </si>
  <si>
    <t>Си = (БЗП + Дн + Двп + Дрк + РО + СВ) * U</t>
  </si>
  <si>
    <t>Расчет прямых затрат</t>
  </si>
  <si>
    <t>Резерв на отпуск</t>
  </si>
  <si>
    <t>U = Uб + Uд1 + Uд2 + Uд3 + Uд4 + Uд5</t>
  </si>
  <si>
    <t>Корректирующий коэффициент</t>
  </si>
  <si>
    <t>Стоимость выполнения работ по проектированию, монтажу и эксплуатационному обслуживанию технических средств охраны</t>
  </si>
  <si>
    <t>СТСО = Ср * Кр + Сп * Кп + Сэо * Кэо + См * Км + Со</t>
  </si>
  <si>
    <t>Ср</t>
  </si>
  <si>
    <t>Кр</t>
  </si>
  <si>
    <t>Услуги по реагированию</t>
  </si>
  <si>
    <t>Объем оказания услуг по реагированию</t>
  </si>
  <si>
    <t>Сп</t>
  </si>
  <si>
    <t>Работы по проектированию</t>
  </si>
  <si>
    <t>Кп</t>
  </si>
  <si>
    <t>Объем выполнения работ по проектированию</t>
  </si>
  <si>
    <t>Сэо</t>
  </si>
  <si>
    <t>Кэо</t>
  </si>
  <si>
    <t>См</t>
  </si>
  <si>
    <t>Км</t>
  </si>
  <si>
    <t>Со</t>
  </si>
  <si>
    <t>Сеу</t>
  </si>
  <si>
    <t>Кзж</t>
  </si>
  <si>
    <t>Сзж = Сеу * Кзж</t>
  </si>
  <si>
    <t>налог на добавленную стоимость  20%</t>
  </si>
  <si>
    <t>Услуги по эксплуатационному обслуживанию</t>
  </si>
  <si>
    <t>Объем оказания услуг по эксплуатационному обслуживанию</t>
  </si>
  <si>
    <t>Работы по монтажу</t>
  </si>
  <si>
    <t>Объем выполнения работ по монтажу</t>
  </si>
  <si>
    <t>Цена оборудования технических средств охраны, поставляемого заказчику</t>
  </si>
  <si>
    <t>Услуги по защите жизни и здоровья граждан</t>
  </si>
  <si>
    <t>Объем оказания услуг по защите жизни и здоровья граждан</t>
  </si>
  <si>
    <t>Стоимость оказания услуги по защите жизни и здоровья граждан</t>
  </si>
  <si>
    <r>
      <t>С</t>
    </r>
    <r>
      <rPr>
        <b/>
        <vertAlign val="subscript"/>
        <sz val="10"/>
        <color theme="1"/>
        <rFont val="Times New Roman"/>
        <family val="1"/>
        <charset val="204"/>
      </rPr>
      <t>ТСО</t>
    </r>
  </si>
  <si>
    <r>
      <t>С</t>
    </r>
    <r>
      <rPr>
        <b/>
        <vertAlign val="subscript"/>
        <sz val="10"/>
        <color theme="1"/>
        <rFont val="Times New Roman"/>
        <family val="1"/>
        <charset val="204"/>
      </rPr>
      <t>ЗЖ</t>
    </r>
  </si>
  <si>
    <r>
      <t>С</t>
    </r>
    <r>
      <rPr>
        <b/>
        <vertAlign val="subscript"/>
        <sz val="10"/>
        <color theme="1"/>
        <rFont val="Times New Roman"/>
        <family val="1"/>
        <charset val="204"/>
      </rPr>
      <t>ЕУ</t>
    </r>
  </si>
  <si>
    <r>
      <t>U</t>
    </r>
    <r>
      <rPr>
        <b/>
        <vertAlign val="subscript"/>
        <sz val="10"/>
        <color theme="1"/>
        <rFont val="Times New Roman"/>
        <family val="1"/>
        <charset val="204"/>
      </rPr>
      <t>б</t>
    </r>
  </si>
  <si>
    <r>
      <t>U</t>
    </r>
    <r>
      <rPr>
        <vertAlign val="subscript"/>
        <sz val="10"/>
        <color theme="1"/>
        <rFont val="Times New Roman"/>
        <family val="1"/>
        <charset val="204"/>
      </rPr>
      <t>б</t>
    </r>
    <r>
      <rPr>
        <sz val="10"/>
        <color theme="1"/>
        <rFont val="Times New Roman"/>
        <family val="1"/>
        <charset val="204"/>
      </rPr>
      <t xml:space="preserve"> = 2 - 0,0417 * Количество часов работы поста</t>
    </r>
  </si>
  <si>
    <t>Осуществлении закупок охранных услуг частных охранных организаций</t>
  </si>
  <si>
    <t>Кол-во дней охраны</t>
  </si>
  <si>
    <t>Консервативный вариант</t>
  </si>
  <si>
    <t>оценка</t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</si>
  <si>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</si>
  <si>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</si>
  <si>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</si>
  <si>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</si>
  <si>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</si>
  <si>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</si>
  <si>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</si>
  <si>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</si>
  <si>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</si>
  <si>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</si>
  <si>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</si>
  <si>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r>
      <t xml:space="preserve">Показатели инфляции:
 • </t>
    </r>
    <r>
      <rPr>
        <b/>
        <u/>
        <sz val="11"/>
        <rFont val="Times New Roman"/>
        <family val="1"/>
        <charset val="204"/>
      </rPr>
      <t>потребительские цены (ИПЦ)</t>
    </r>
  </si>
  <si>
    <t xml:space="preserve">Формулы и значения используемые в расчете. </t>
  </si>
  <si>
    <t>Кол-во часов работы поста</t>
  </si>
  <si>
    <t>2022 год</t>
  </si>
  <si>
    <t xml:space="preserve">Годы осуществления охранных услуг. </t>
  </si>
  <si>
    <t>Праздииков в 2021</t>
  </si>
  <si>
    <t>Праздииков в 2022</t>
  </si>
  <si>
    <t>Праздииков в 2023</t>
  </si>
  <si>
    <t>Праздииков в 2024</t>
  </si>
  <si>
    <t>Праздииков в 2025</t>
  </si>
  <si>
    <t>Двп</t>
  </si>
  <si>
    <t>РО</t>
  </si>
  <si>
    <t>КР</t>
  </si>
  <si>
    <t>П</t>
  </si>
  <si>
    <t>Ки</t>
  </si>
  <si>
    <r>
      <t xml:space="preserve">Наименование </t>
    </r>
    <r>
      <rPr>
        <sz val="10"/>
        <color theme="1"/>
        <rFont val="Times New Roman"/>
        <family val="1"/>
        <charset val="204"/>
      </rPr>
      <t>товара (работы, услуги)</t>
    </r>
    <r>
      <rPr>
        <sz val="10"/>
        <color rgb="FF000000"/>
        <rFont val="Times New Roman"/>
        <family val="1"/>
        <charset val="204"/>
      </rPr>
      <t xml:space="preserve"> (позиция)</t>
    </r>
  </si>
  <si>
    <t>Единица измерения</t>
  </si>
  <si>
    <t>Цена 1</t>
  </si>
  <si>
    <t>Цена  2</t>
  </si>
  <si>
    <t>Цена 3</t>
  </si>
  <si>
    <t xml:space="preserve">Среднее значение цены единицы, руб. </t>
  </si>
  <si>
    <t>Среднее квадратичное отклонение (σ)</t>
  </si>
  <si>
    <t xml:space="preserve">Коэффициент вариации (%) (V) </t>
  </si>
  <si>
    <t>Однородность цен (ДА/НЕТ)</t>
  </si>
  <si>
    <t>Ср (Услуги по реагированию)</t>
  </si>
  <si>
    <t>Таблица 1 - Группа быстрого реагирования</t>
  </si>
  <si>
    <t>Кр (Объем оказания услуг по реагированию)</t>
  </si>
  <si>
    <t>Расчет Стсо</t>
  </si>
  <si>
    <t>Таблица 2 - Работы по проектированию</t>
  </si>
  <si>
    <t>Таблица 3 - Услуги по эксплуатационному обслуживанию</t>
  </si>
  <si>
    <t>Таблица 4 - Работы по монтажу</t>
  </si>
  <si>
    <t>Сп (Работы по проектированию)</t>
  </si>
  <si>
    <t>Кп (Объем выполнения работ по проектированию)</t>
  </si>
  <si>
    <t>Сэо (Услуги по эксплуатационному обслуживанию)</t>
  </si>
  <si>
    <t>Км (Объем выполнения работ по монтажу)</t>
  </si>
  <si>
    <t>См (Работы по монтажу)</t>
  </si>
  <si>
    <t>Кэо (Объем оказания услуг по эксплуатационному обслуживанию)</t>
  </si>
  <si>
    <r>
      <t>I</t>
    </r>
    <r>
      <rPr>
        <vertAlign val="subscript"/>
        <sz val="10"/>
        <color rgb="FFFF0000"/>
        <rFont val="Times New Roman"/>
        <family val="1"/>
        <charset val="204"/>
      </rPr>
      <t>инфл</t>
    </r>
  </si>
  <si>
    <t>Минимальный размер оплаты труда, установленный на дату расчета НМЦК</t>
  </si>
  <si>
    <t>Доплата за работу в ночное время</t>
  </si>
  <si>
    <t>Доплата за работу в выходные и праздничные дни</t>
  </si>
  <si>
    <t>Чп</t>
  </si>
  <si>
    <t>G</t>
  </si>
  <si>
    <t>Кол-во постов охраны</t>
  </si>
  <si>
    <t xml:space="preserve">НДС </t>
  </si>
  <si>
    <t>Iинфл</t>
  </si>
  <si>
    <t>фот</t>
  </si>
  <si>
    <t>св</t>
  </si>
  <si>
    <t>рп</t>
  </si>
  <si>
    <t>рк</t>
  </si>
  <si>
    <t>п=</t>
  </si>
  <si>
    <t>скп</t>
  </si>
  <si>
    <t>ОТ</t>
  </si>
  <si>
    <t>Р77ФЗ</t>
  </si>
  <si>
    <t>Y</t>
  </si>
  <si>
    <t>Спч</t>
  </si>
  <si>
    <t>НМЦК</t>
  </si>
  <si>
    <t>Свохр (за 1 пост)</t>
  </si>
  <si>
    <t>Кпч</t>
  </si>
  <si>
    <t>Месяц</t>
  </si>
  <si>
    <t>Октябрь</t>
  </si>
  <si>
    <t>Советская пл., д. 3 - Пост 1</t>
  </si>
  <si>
    <t>Военизированная охрана с использованием боевого ручного стрелкового оружия</t>
  </si>
  <si>
    <t>Кол-во дней работы поста</t>
  </si>
  <si>
    <t>В случае если срок действия контракта превышает срок прогноза, индекс потребительских цен для каждого года срока действия контракта, не указанного в прогнозе, принимается равным индексу потребительских цен, указанному для последнего года прогноза.*
В случае если расчет НМЦК и начало срока действия контракта приходятся на один год, то для этого года срока действия контракта значение  принимается равным единице.</t>
  </si>
  <si>
    <t>Пост 1</t>
  </si>
  <si>
    <t>Пост 2</t>
  </si>
  <si>
    <t>Пост 3</t>
  </si>
  <si>
    <t>Пост 4</t>
  </si>
  <si>
    <t>Пост 2/1</t>
  </si>
  <si>
    <t>Пост 2/2</t>
  </si>
  <si>
    <t>Кол-во</t>
  </si>
  <si>
    <t>Калькулятор дней</t>
  </si>
  <si>
    <t>Пост 1/1</t>
  </si>
  <si>
    <t>Пост 1/2</t>
  </si>
  <si>
    <t>Пост 1/3</t>
  </si>
  <si>
    <t>Пост 2/3</t>
  </si>
  <si>
    <t>Пост 3/2</t>
  </si>
  <si>
    <t>Пост 3/3</t>
  </si>
  <si>
    <t>Пост 4/2</t>
  </si>
  <si>
    <t>Пост 5</t>
  </si>
  <si>
    <t>Пост 5/2</t>
  </si>
  <si>
    <t>Пост 6</t>
  </si>
  <si>
    <t>Пост 7/2</t>
  </si>
  <si>
    <t>Пост 6/2</t>
  </si>
  <si>
    <t>Пост 7</t>
  </si>
  <si>
    <t>Пост 8</t>
  </si>
  <si>
    <t>Пост 8/2</t>
  </si>
  <si>
    <t>Пост 8/3</t>
  </si>
  <si>
    <t>Пост 7/3</t>
  </si>
  <si>
    <t>Пост 6/3</t>
  </si>
  <si>
    <t>Пост 5/3</t>
  </si>
  <si>
    <t>Пост 4/3</t>
  </si>
  <si>
    <t>Пост 3/1</t>
  </si>
  <si>
    <t>Пост 4/1</t>
  </si>
  <si>
    <t>Пост 5/1</t>
  </si>
  <si>
    <t>Пост 6/1</t>
  </si>
  <si>
    <t>Пост 7/1</t>
  </si>
  <si>
    <t>Пост 8/1</t>
  </si>
  <si>
    <t>Годы осуществления охранных услуг</t>
  </si>
  <si>
    <t>Вх. №155 от 12.05.2023</t>
  </si>
  <si>
    <t>Вх. №158 от 12.05.2023</t>
  </si>
  <si>
    <t>Вх. №161 от 12.05.2023</t>
  </si>
  <si>
    <t>с 2024 по 2025</t>
  </si>
  <si>
    <t>отчет</t>
  </si>
  <si>
    <t>прогноз</t>
  </si>
  <si>
    <t>с 2024 по 2026</t>
  </si>
  <si>
    <t>с 2025 по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</si>
</sst>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#,##0.0000"/>
    <numFmt numFmtId="166" formatCode="0_)"/>
    <numFmt numFmtId="167" formatCode="#,##0.00000000"/>
    <numFmt numFmtId="168" formatCode="0.0000"/>
    <numFmt numFmtId="169" formatCode="#,##0.00000"/>
    <numFmt numFmtId="170" formatCode="0.0000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10"/>
      <name val="Courier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vertAlign val="subscript"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scheme val="minor"/>
    </font>
    <font>
      <b/>
      <u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8" fillId="0" borderId="0"/>
    <xf numFmtId="9" fontId="19" fillId="0" borderId="0" applyFont="0" applyFill="0" applyBorder="0" applyAlignment="0" applyProtection="0"/>
    <xf numFmtId="0" fontId="25" fillId="0" borderId="0"/>
    <xf numFmtId="0" fontId="26" fillId="0" borderId="0"/>
    <xf numFmtId="0" fontId="27" fillId="0" borderId="0" applyNumberFormat="0" applyFill="0" applyBorder="0" applyAlignment="0" applyProtection="0"/>
  </cellStyleXfs>
  <cellXfs count="198">
    <xf numFmtId="0" fontId="0" fillId="0" borderId="0" xfId="0"/>
    <xf numFmtId="0" fontId="2" fillId="0" borderId="0" xfId="0" applyFont="1"/>
    <xf numFmtId="0" fontId="2" fillId="0" borderId="1" xfId="0" applyFont="1" applyBorder="1"/>
    <xf numFmtId="16" fontId="0" fillId="0" borderId="0" xfId="0" applyNumberFormat="1"/>
    <xf numFmtId="14" fontId="2" fillId="0" borderId="0" xfId="0" applyNumberFormat="1" applyFont="1"/>
    <xf numFmtId="0" fontId="4" fillId="0" borderId="0" xfId="0" applyFont="1"/>
    <xf numFmtId="4" fontId="4" fillId="0" borderId="0" xfId="0" applyNumberFormat="1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5" borderId="11" xfId="0" applyFont="1" applyFill="1" applyBorder="1" applyAlignment="1">
      <alignment horizontal="left" vertical="center"/>
    </xf>
    <xf numFmtId="4" fontId="4" fillId="5" borderId="12" xfId="0" applyNumberFormat="1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4" fontId="4" fillId="5" borderId="1" xfId="0" applyNumberFormat="1" applyFont="1" applyFill="1" applyBorder="1" applyAlignment="1">
      <alignment horizontal="left" vertical="center"/>
    </xf>
    <xf numFmtId="4" fontId="4" fillId="5" borderId="1" xfId="0" quotePrefix="1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left" vertical="center"/>
    </xf>
    <xf numFmtId="0" fontId="4" fillId="5" borderId="35" xfId="0" applyFont="1" applyFill="1" applyBorder="1" applyAlignment="1">
      <alignment horizontal="left" vertical="center"/>
    </xf>
    <xf numFmtId="0" fontId="4" fillId="5" borderId="35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/>
    </xf>
    <xf numFmtId="4" fontId="4" fillId="5" borderId="16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6" fontId="10" fillId="3" borderId="37" xfId="1" applyFont="1" applyFill="1" applyBorder="1" applyAlignment="1">
      <alignment horizontal="left" vertical="center" wrapText="1"/>
    </xf>
    <xf numFmtId="166" fontId="9" fillId="0" borderId="37" xfId="1" applyFont="1" applyBorder="1" applyAlignment="1">
      <alignment vertical="center"/>
    </xf>
    <xf numFmtId="166" fontId="9" fillId="0" borderId="27" xfId="1" applyFont="1" applyBorder="1" applyAlignment="1">
      <alignment vertical="center"/>
    </xf>
    <xf numFmtId="166" fontId="10" fillId="3" borderId="37" xfId="1" applyFont="1" applyFill="1" applyBorder="1" applyAlignment="1">
      <alignment vertical="center" wrapText="1"/>
    </xf>
    <xf numFmtId="166" fontId="12" fillId="3" borderId="37" xfId="1" applyFont="1" applyFill="1" applyBorder="1" applyAlignment="1">
      <alignment vertical="center" wrapText="1"/>
    </xf>
    <xf numFmtId="0" fontId="4" fillId="4" borderId="39" xfId="0" applyFont="1" applyFill="1" applyBorder="1"/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5" borderId="25" xfId="0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31" xfId="0" applyFont="1" applyFill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5" fillId="3" borderId="27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/>
    <xf numFmtId="0" fontId="20" fillId="5" borderId="13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4" fontId="4" fillId="5" borderId="0" xfId="0" applyNumberFormat="1" applyFont="1" applyFill="1" applyAlignment="1">
      <alignment horizontal="left" vertical="center"/>
    </xf>
    <xf numFmtId="10" fontId="4" fillId="0" borderId="0" xfId="0" applyNumberFormat="1" applyFont="1"/>
    <xf numFmtId="10" fontId="5" fillId="5" borderId="1" xfId="2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4" fontId="13" fillId="4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23" fillId="4" borderId="0" xfId="0" applyFont="1" applyFill="1" applyAlignment="1">
      <alignment horizontal="center" vertical="center" wrapText="1"/>
    </xf>
    <xf numFmtId="165" fontId="13" fillId="4" borderId="0" xfId="0" applyNumberFormat="1" applyFont="1" applyFill="1" applyAlignment="1">
      <alignment horizontal="center" vertical="center"/>
    </xf>
    <xf numFmtId="3" fontId="5" fillId="5" borderId="27" xfId="0" applyNumberFormat="1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4" fontId="5" fillId="5" borderId="42" xfId="0" applyNumberFormat="1" applyFont="1" applyFill="1" applyBorder="1" applyAlignment="1">
      <alignment horizontal="center" vertical="center"/>
    </xf>
    <xf numFmtId="4" fontId="5" fillId="5" borderId="14" xfId="0" applyNumberFormat="1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horizontal="left" vertical="center"/>
    </xf>
    <xf numFmtId="4" fontId="4" fillId="0" borderId="0" xfId="0" applyNumberFormat="1" applyFont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left" vertical="center"/>
    </xf>
    <xf numFmtId="164" fontId="4" fillId="5" borderId="2" xfId="0" applyNumberFormat="1" applyFont="1" applyFill="1" applyBorder="1" applyAlignment="1">
      <alignment horizontal="left" vertical="center"/>
    </xf>
    <xf numFmtId="167" fontId="20" fillId="5" borderId="2" xfId="0" applyNumberFormat="1" applyFont="1" applyFill="1" applyBorder="1" applyAlignment="1">
      <alignment horizontal="left" vertical="center"/>
    </xf>
    <xf numFmtId="4" fontId="4" fillId="5" borderId="22" xfId="0" applyNumberFormat="1" applyFont="1" applyFill="1" applyBorder="1" applyAlignment="1">
      <alignment horizontal="left" vertical="center"/>
    </xf>
    <xf numFmtId="4" fontId="4" fillId="4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center" vertical="center"/>
    </xf>
    <xf numFmtId="168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169" fontId="4" fillId="5" borderId="1" xfId="0" applyNumberFormat="1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" fontId="13" fillId="3" borderId="16" xfId="0" applyNumberFormat="1" applyFont="1" applyFill="1" applyBorder="1" applyAlignment="1">
      <alignment horizontal="center" vertical="center"/>
    </xf>
    <xf numFmtId="4" fontId="13" fillId="4" borderId="16" xfId="0" applyNumberFormat="1" applyFont="1" applyFill="1" applyBorder="1" applyAlignment="1">
      <alignment horizontal="center" vertical="center"/>
    </xf>
    <xf numFmtId="165" fontId="13" fillId="3" borderId="16" xfId="0" applyNumberFormat="1" applyFont="1" applyFill="1" applyBorder="1" applyAlignment="1">
      <alignment horizontal="center" vertical="center"/>
    </xf>
    <xf numFmtId="165" fontId="13" fillId="0" borderId="16" xfId="0" applyNumberFormat="1" applyFont="1" applyBorder="1" applyAlignment="1">
      <alignment horizontal="center" vertical="center"/>
    </xf>
    <xf numFmtId="4" fontId="13" fillId="3" borderId="43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4" fontId="23" fillId="6" borderId="25" xfId="0" applyNumberFormat="1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wrapText="1"/>
    </xf>
    <xf numFmtId="166" fontId="29" fillId="0" borderId="12" xfId="1" applyFont="1" applyBorder="1" applyAlignment="1" applyProtection="1">
      <alignment horizontal="center" vertical="center" wrapText="1"/>
      <protection locked="0"/>
    </xf>
    <xf numFmtId="166" fontId="29" fillId="0" borderId="38" xfId="1" applyFont="1" applyBorder="1" applyAlignment="1" applyProtection="1">
      <alignment horizontal="center" vertical="center" wrapText="1"/>
      <protection locked="0"/>
    </xf>
    <xf numFmtId="170" fontId="9" fillId="0" borderId="1" xfId="1" applyNumberFormat="1" applyFont="1" applyBorder="1" applyAlignment="1">
      <alignment horizontal="center" vertical="center"/>
    </xf>
    <xf numFmtId="0" fontId="4" fillId="5" borderId="22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left" vertical="center"/>
    </xf>
    <xf numFmtId="4" fontId="4" fillId="5" borderId="14" xfId="0" applyNumberFormat="1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left" vertical="center"/>
    </xf>
    <xf numFmtId="4" fontId="4" fillId="5" borderId="3" xfId="0" applyNumberFormat="1" applyFont="1" applyFill="1" applyBorder="1" applyAlignment="1">
      <alignment horizontal="left" vertical="center"/>
    </xf>
    <xf numFmtId="4" fontId="4" fillId="5" borderId="31" xfId="0" applyNumberFormat="1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3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31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left"/>
    </xf>
    <xf numFmtId="0" fontId="28" fillId="7" borderId="2" xfId="5" applyFont="1" applyFill="1" applyBorder="1" applyAlignment="1">
      <alignment horizontal="center" vertical="center"/>
    </xf>
    <xf numFmtId="0" fontId="28" fillId="7" borderId="3" xfId="5" applyFont="1" applyFill="1" applyBorder="1" applyAlignment="1">
      <alignment horizontal="center" vertical="center"/>
    </xf>
    <xf numFmtId="0" fontId="28" fillId="7" borderId="36" xfId="5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4" fillId="5" borderId="28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0" fontId="4" fillId="5" borderId="30" xfId="0" applyFont="1" applyFill="1" applyBorder="1" applyAlignment="1">
      <alignment horizontal="left" vertical="center"/>
    </xf>
    <xf numFmtId="0" fontId="16" fillId="4" borderId="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4" fontId="4" fillId="5" borderId="36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167" fontId="22" fillId="5" borderId="44" xfId="0" applyNumberFormat="1" applyFont="1" applyFill="1" applyBorder="1" applyAlignment="1">
      <alignment horizontal="center" vertical="center"/>
    </xf>
    <xf numFmtId="167" fontId="22" fillId="5" borderId="1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24" fillId="0" borderId="36" xfId="0" applyFont="1" applyBorder="1" applyAlignment="1">
      <alignment horizontal="center" wrapText="1"/>
    </xf>
    <xf numFmtId="4" fontId="4" fillId="5" borderId="45" xfId="0" applyNumberFormat="1" applyFont="1" applyFill="1" applyBorder="1" applyAlignment="1">
      <alignment horizontal="left" vertical="center"/>
    </xf>
    <xf numFmtId="4" fontId="4" fillId="5" borderId="16" xfId="0" applyNumberFormat="1" applyFont="1" applyFill="1" applyBorder="1" applyAlignment="1">
      <alignment horizontal="left" vertical="center"/>
    </xf>
    <xf numFmtId="4" fontId="4" fillId="5" borderId="27" xfId="0" applyNumberFormat="1" applyFont="1" applyFill="1" applyBorder="1" applyAlignment="1">
      <alignment horizontal="left" vertical="center"/>
    </xf>
    <xf numFmtId="166" fontId="9" fillId="0" borderId="4" xfId="1" applyFont="1" applyBorder="1" applyAlignment="1">
      <alignment horizontal="left" vertical="center"/>
    </xf>
    <xf numFmtId="166" fontId="9" fillId="0" borderId="7" xfId="1" applyFont="1" applyBorder="1" applyAlignment="1">
      <alignment horizontal="left" vertical="center"/>
    </xf>
    <xf numFmtId="166" fontId="29" fillId="0" borderId="4" xfId="1" applyFont="1" applyBorder="1" applyAlignment="1" applyProtection="1">
      <alignment horizontal="center" vertical="center" wrapText="1"/>
      <protection locked="0"/>
    </xf>
    <xf numFmtId="166" fontId="29" fillId="0" borderId="5" xfId="1" applyFont="1" applyBorder="1" applyAlignment="1" applyProtection="1">
      <alignment horizontal="center" vertical="center" wrapText="1"/>
      <protection locked="0"/>
    </xf>
    <xf numFmtId="166" fontId="29" fillId="0" borderId="20" xfId="1" applyFont="1" applyBorder="1" applyAlignment="1" applyProtection="1">
      <alignment horizontal="center" vertical="center" wrapText="1"/>
      <protection locked="0"/>
    </xf>
    <xf numFmtId="170" fontId="9" fillId="3" borderId="1" xfId="1" applyNumberFormat="1" applyFont="1" applyFill="1" applyBorder="1" applyAlignment="1">
      <alignment horizontal="center"/>
    </xf>
    <xf numFmtId="166" fontId="9" fillId="3" borderId="1" xfId="1" applyFont="1" applyFill="1" applyBorder="1" applyAlignment="1">
      <alignment horizontal="center"/>
    </xf>
  </cellXfs>
  <cellStyles count="6">
    <cellStyle name="Гиперссылка" xfId="5" builtinId="8"/>
    <cellStyle name="Обычный" xfId="0" builtinId="0"/>
    <cellStyle name="Обычный 100" xfId="4" xr:uid="{00000000-0005-0000-0000-000002000000}"/>
    <cellStyle name="Обычный 2" xfId="3" xr:uid="{00000000-0005-0000-0000-000003000000}"/>
    <cellStyle name="Обычный 4" xfId="1" xr:uid="{00000000-0005-0000-0000-000004000000}"/>
    <cellStyle name="Процентный" xfId="2" builtinId="5"/>
  </cellStyles>
  <dxfs count="16"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67403</xdr:rowOff>
    </xdr:from>
    <xdr:to>
      <xdr:col>1</xdr:col>
      <xdr:colOff>2981325</xdr:colOff>
      <xdr:row>25</xdr:row>
      <xdr:rowOff>352425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32D5C94-AAF3-4D88-8F31-1F51879B7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30353"/>
          <a:ext cx="2981325" cy="285022"/>
        </a:xfrm>
        <a:prstGeom prst="rect">
          <a:avLst/>
        </a:prstGeom>
      </xdr:spPr>
    </xdr:pic>
    <xdr:clientData/>
  </xdr:twoCellAnchor>
  <xdr:twoCellAnchor>
    <xdr:from>
      <xdr:col>1</xdr:col>
      <xdr:colOff>57150</xdr:colOff>
      <xdr:row>14</xdr:row>
      <xdr:rowOff>28576</xdr:rowOff>
    </xdr:from>
    <xdr:to>
      <xdr:col>1</xdr:col>
      <xdr:colOff>952500</xdr:colOff>
      <xdr:row>15</xdr:row>
      <xdr:rowOff>9526</xdr:rowOff>
    </xdr:to>
    <xdr:pic>
      <xdr:nvPicPr>
        <xdr:cNvPr id="2" name="Рисунок 1" descr="base_32851_383133_32771">
          <a:extLst>
            <a:ext uri="{FF2B5EF4-FFF2-40B4-BE49-F238E27FC236}">
              <a16:creationId xmlns:a16="http://schemas.microsoft.com/office/drawing/2014/main" id="{E4059AA5-EBDE-438A-8DB8-6B73602C874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419476"/>
          <a:ext cx="8953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19</xdr:row>
      <xdr:rowOff>9525</xdr:rowOff>
    </xdr:from>
    <xdr:to>
      <xdr:col>1</xdr:col>
      <xdr:colOff>2400300</xdr:colOff>
      <xdr:row>20</xdr:row>
      <xdr:rowOff>180975</xdr:rowOff>
    </xdr:to>
    <xdr:pic>
      <xdr:nvPicPr>
        <xdr:cNvPr id="3" name="Рисунок 2" descr="base_32851_383133_32772">
          <a:extLst>
            <a:ext uri="{FF2B5EF4-FFF2-40B4-BE49-F238E27FC236}">
              <a16:creationId xmlns:a16="http://schemas.microsoft.com/office/drawing/2014/main" id="{722DD108-AF49-4E8A-B368-21C0B7009B9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429250"/>
          <a:ext cx="2371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26</xdr:row>
      <xdr:rowOff>47625</xdr:rowOff>
    </xdr:from>
    <xdr:to>
      <xdr:col>1</xdr:col>
      <xdr:colOff>2038350</xdr:colOff>
      <xdr:row>26</xdr:row>
      <xdr:rowOff>333375</xdr:rowOff>
    </xdr:to>
    <xdr:pic>
      <xdr:nvPicPr>
        <xdr:cNvPr id="6" name="Рисунок 5" descr="base_32851_383133_32769">
          <a:extLst>
            <a:ext uri="{FF2B5EF4-FFF2-40B4-BE49-F238E27FC236}">
              <a16:creationId xmlns:a16="http://schemas.microsoft.com/office/drawing/2014/main" id="{ACF3BCC3-97B2-4D1C-8309-3B1B37E809D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429500"/>
          <a:ext cx="2028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2238375</xdr:colOff>
      <xdr:row>27</xdr:row>
      <xdr:rowOff>333375</xdr:rowOff>
    </xdr:to>
    <xdr:pic>
      <xdr:nvPicPr>
        <xdr:cNvPr id="7" name="Рисунок 6" descr="base_32851_383133_32770">
          <a:extLst>
            <a:ext uri="{FF2B5EF4-FFF2-40B4-BE49-F238E27FC236}">
              <a16:creationId xmlns:a16="http://schemas.microsoft.com/office/drawing/2014/main" id="{49A28ABA-53A3-46C0-ADDA-3FFB66D6311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3350"/>
          <a:ext cx="2238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29</xdr:row>
      <xdr:rowOff>19051</xdr:rowOff>
    </xdr:from>
    <xdr:to>
      <xdr:col>1</xdr:col>
      <xdr:colOff>1962150</xdr:colOff>
      <xdr:row>30</xdr:row>
      <xdr:rowOff>1</xdr:rowOff>
    </xdr:to>
    <xdr:pic>
      <xdr:nvPicPr>
        <xdr:cNvPr id="8" name="Рисунок 7" descr="base_32851_383133_32772">
          <a:extLst>
            <a:ext uri="{FF2B5EF4-FFF2-40B4-BE49-F238E27FC236}">
              <a16:creationId xmlns:a16="http://schemas.microsoft.com/office/drawing/2014/main" id="{9BE64343-CCF3-4737-8695-5F83A941516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4376"/>
          <a:ext cx="1962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</xdr:col>
      <xdr:colOff>1866900</xdr:colOff>
      <xdr:row>15</xdr:row>
      <xdr:rowOff>171451</xdr:rowOff>
    </xdr:to>
    <xdr:sp macro="" textlink="">
      <xdr:nvSpPr>
        <xdr:cNvPr id="7169" name="AutoShape 1">
          <a:extLst>
            <a:ext uri="{FF2B5EF4-FFF2-40B4-BE49-F238E27FC236}">
              <a16:creationId xmlns:a16="http://schemas.microsoft.com/office/drawing/2014/main" id="{A053592A-A400-48B2-833C-813F938FCE6F}"/>
            </a:ext>
          </a:extLst>
        </xdr:cNvPr>
        <xdr:cNvSpPr>
          <a:spLocks noChangeAspect="1" noChangeArrowheads="1"/>
        </xdr:cNvSpPr>
      </xdr:nvSpPr>
      <xdr:spPr bwMode="auto">
        <a:xfrm>
          <a:off x="0" y="3781424"/>
          <a:ext cx="1866900" cy="171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ncalculator.ru/kalkulyator-dnej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8"/>
  <sheetViews>
    <sheetView showGridLines="0" tabSelected="1" topLeftCell="B1" zoomScale="115" zoomScaleNormal="115" workbookViewId="0">
      <selection activeCell="C4" sqref="C4"/>
    </sheetView>
  </sheetViews>
  <sheetFormatPr defaultColWidth="9.140625" defaultRowHeight="12.75" outlineLevelRow="1" x14ac:dyDescent="0.2"/>
  <cols>
    <col min="1" max="1" width="9.140625" style="5" hidden="1" customWidth="1"/>
    <col min="2" max="2" width="44.85546875" style="5" customWidth="1"/>
    <col min="3" max="3" width="12.85546875" style="5" customWidth="1"/>
    <col min="4" max="4" width="10.7109375" style="5" customWidth="1"/>
    <col min="5" max="5" width="9.140625" style="5" customWidth="1"/>
    <col min="6" max="6" width="5.85546875" style="5" customWidth="1"/>
    <col min="7" max="7" width="6" style="5" bestFit="1" customWidth="1"/>
    <col min="8" max="8" width="5.5703125" style="6" customWidth="1"/>
    <col min="9" max="9" width="5.5703125" style="5" customWidth="1"/>
    <col min="10" max="11" width="5.7109375" style="5" customWidth="1"/>
    <col min="12" max="12" width="5.5703125" style="5" customWidth="1"/>
    <col min="13" max="13" width="7.5703125" style="5" customWidth="1"/>
    <col min="14" max="14" width="9.7109375" style="5" customWidth="1"/>
    <col min="15" max="15" width="9.28515625" style="5" bestFit="1" customWidth="1"/>
    <col min="16" max="16" width="11.42578125" style="5" customWidth="1"/>
    <col min="17" max="16384" width="9.140625" style="5"/>
  </cols>
  <sheetData>
    <row r="1" spans="1:16" x14ac:dyDescent="0.2">
      <c r="B1" s="5" t="s">
        <v>61</v>
      </c>
    </row>
    <row r="2" spans="1:16" ht="18.75" customHeight="1" x14ac:dyDescent="0.2">
      <c r="B2" s="142" t="s">
        <v>108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ht="24" customHeight="1" x14ac:dyDescent="0.2">
      <c r="B3" s="99" t="s">
        <v>60</v>
      </c>
      <c r="C3" s="100">
        <f>ROUND((SUM(P11:P12)+B6+B8)*C25*C45,2)</f>
        <v>0</v>
      </c>
      <c r="D3" s="98"/>
      <c r="E3" s="163" t="s">
        <v>195</v>
      </c>
      <c r="F3" s="164"/>
      <c r="G3" s="165"/>
      <c r="H3" s="5"/>
      <c r="L3" s="8"/>
      <c r="M3" s="8"/>
      <c r="N3" s="8"/>
      <c r="O3" s="143"/>
      <c r="P3" s="143"/>
    </row>
    <row r="4" spans="1:16" ht="24" customHeight="1" x14ac:dyDescent="0.2">
      <c r="B4" s="7" t="s">
        <v>222</v>
      </c>
      <c r="C4" s="102">
        <v>2024</v>
      </c>
      <c r="D4" s="93"/>
      <c r="H4" s="5"/>
      <c r="L4" s="8"/>
      <c r="M4" s="8"/>
      <c r="N4" s="8"/>
      <c r="O4" s="10"/>
      <c r="P4" s="10"/>
    </row>
    <row r="5" spans="1:16" ht="1.5" customHeight="1" thickBot="1" x14ac:dyDescent="0.25">
      <c r="B5" s="46" t="s">
        <v>103</v>
      </c>
      <c r="C5" s="46" t="s">
        <v>90</v>
      </c>
      <c r="D5" s="58"/>
      <c r="E5" s="58"/>
      <c r="F5" s="58"/>
      <c r="G5" s="58"/>
      <c r="H5" s="58"/>
      <c r="I5" s="58"/>
      <c r="J5" s="58"/>
      <c r="K5" s="58"/>
      <c r="L5" s="58"/>
    </row>
    <row r="6" spans="1:16" ht="12.75" hidden="1" customHeight="1" thickBot="1" x14ac:dyDescent="0.25">
      <c r="B6" s="25">
        <f>'Расчет Стсо'!$G$6*'Расчет Стсо'!$C$6+'Расчет Стсо'!$G$12*'Расчет Стсо'!$C$12+'Расчет Стсо'!$C$18*'Расчет Стсо'!$G$18+'Расчет Стсо'!$C$24*'Расчет Стсо'!$G$24+C6</f>
        <v>0</v>
      </c>
      <c r="C6" s="45">
        <v>0</v>
      </c>
      <c r="E6" s="59"/>
      <c r="F6" s="59"/>
      <c r="G6" s="59"/>
      <c r="H6" s="59"/>
      <c r="I6" s="59"/>
      <c r="J6" s="59"/>
      <c r="K6" s="59"/>
      <c r="L6" s="60"/>
    </row>
    <row r="7" spans="1:16" ht="12.75" hidden="1" customHeight="1" thickBot="1" x14ac:dyDescent="0.25">
      <c r="B7" s="51" t="s">
        <v>104</v>
      </c>
      <c r="C7" s="46" t="s">
        <v>105</v>
      </c>
      <c r="D7" s="46"/>
      <c r="E7" s="46" t="s">
        <v>92</v>
      </c>
      <c r="H7" s="5"/>
    </row>
    <row r="8" spans="1:16" ht="18.75" hidden="1" customHeight="1" thickBot="1" x14ac:dyDescent="0.25">
      <c r="B8" s="50"/>
      <c r="C8" s="50"/>
      <c r="D8" s="50"/>
      <c r="E8" s="50"/>
      <c r="H8" s="5"/>
    </row>
    <row r="9" spans="1:16" x14ac:dyDescent="0.2">
      <c r="A9" s="122" t="s">
        <v>182</v>
      </c>
      <c r="B9" s="152" t="s">
        <v>57</v>
      </c>
      <c r="C9" s="152" t="s">
        <v>194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66"/>
    </row>
    <row r="10" spans="1:16" ht="51.75" thickBot="1" x14ac:dyDescent="0.25">
      <c r="A10" s="123"/>
      <c r="B10" s="153"/>
      <c r="C10" s="46" t="s">
        <v>137</v>
      </c>
      <c r="D10" s="65" t="s">
        <v>186</v>
      </c>
      <c r="E10" s="65" t="s">
        <v>125</v>
      </c>
      <c r="F10" s="46" t="s">
        <v>0</v>
      </c>
      <c r="G10" s="46" t="s">
        <v>19</v>
      </c>
      <c r="H10" s="46" t="s">
        <v>29</v>
      </c>
      <c r="I10" s="46" t="s">
        <v>30</v>
      </c>
      <c r="J10" s="46" t="s">
        <v>31</v>
      </c>
      <c r="K10" s="46" t="s">
        <v>32</v>
      </c>
      <c r="L10" s="46" t="s">
        <v>33</v>
      </c>
      <c r="M10" s="46" t="s">
        <v>58</v>
      </c>
      <c r="N10" s="46" t="s">
        <v>135</v>
      </c>
      <c r="O10" s="46" t="s">
        <v>136</v>
      </c>
      <c r="P10" s="104" t="s">
        <v>59</v>
      </c>
    </row>
    <row r="11" spans="1:16" ht="13.5" thickBot="1" x14ac:dyDescent="0.25">
      <c r="A11" s="111"/>
      <c r="B11" s="113">
        <v>1</v>
      </c>
      <c r="C11" s="114">
        <f>E11*D11</f>
        <v>0</v>
      </c>
      <c r="D11" s="112"/>
      <c r="E11" s="107">
        <v>24</v>
      </c>
      <c r="F11" s="108">
        <f>IF(SUM(H11:L11)&gt;0.35,G11+0.35,SUM(G11:L11))</f>
        <v>1.1000000000000001</v>
      </c>
      <c r="G11" s="108">
        <f>IF(E11=24,$F$48,IF(E11=12,$F$49,IF(E11=9,2-(0.0417*9),IF(E11=10,2-0.0417*10,IF(E11=11,2-0.0417*11,IF(E11=13,2-0.0417*13,IF(E11=14,2-0.0417*14,IF(E11=15,2-0.0417*15,IF(E11=16,2-0.0417*16,IF(E11=17,2-0.0417*17,IF(E11=18,2-0.0417*18,IF(E11=19,2-0.0417*19,IF(E11=20,2-0.0417*20,IF(E11=21,2-0.0417*22,IF(E11=23,2-0.0417*23,IF(E11=8,2-0.0417*8,IF(E11=7,2-0.0417*7,IF(E11=6,2-0.0417*6,IF(E11=5,2-0.0417*5,IF(E11=4,2-0.0417*4,IF(E11=3,2-0.0417*3,IF(E11=2,2-0.0417*2,IF(E11=1,2-0.0417*1)))))))))))))))))))))))</f>
        <v>1</v>
      </c>
      <c r="H11" s="109">
        <v>0</v>
      </c>
      <c r="I11" s="109">
        <v>0</v>
      </c>
      <c r="J11" s="109">
        <v>0</v>
      </c>
      <c r="K11" s="109">
        <v>0.1</v>
      </c>
      <c r="L11" s="109">
        <v>0</v>
      </c>
      <c r="M11" s="106">
        <f>IF(E11=24,ROUND(($C$15+$C$21+$C$23+$C$18+$C$19)*F11,2),ROUND(($C$15+$E$21+$E$23)*F11,2))</f>
        <v>200.65</v>
      </c>
      <c r="N11" s="106">
        <f t="shared" ref="N11" si="0">ROUND((C11*M11)*0.2,2)</f>
        <v>0</v>
      </c>
      <c r="O11" s="106">
        <f t="shared" ref="O11" si="1">ROUND(((C11*M11)+N11)*0.05,2)</f>
        <v>0</v>
      </c>
      <c r="P11" s="110">
        <f t="shared" ref="P11" si="2">ROUND(((C11*M11)++N11+O11),2)</f>
        <v>0</v>
      </c>
    </row>
    <row r="12" spans="1:16" ht="13.5" thickBot="1" x14ac:dyDescent="0.25">
      <c r="A12" s="105"/>
      <c r="B12" s="115">
        <v>2</v>
      </c>
      <c r="C12" s="114">
        <f>E12*D12</f>
        <v>0</v>
      </c>
      <c r="D12" s="106"/>
      <c r="E12" s="107">
        <v>24</v>
      </c>
      <c r="F12" s="108">
        <f>IF(SUM(H12:L12)&gt;0.35,G12+0.35,SUM(G12:L12))</f>
        <v>1.1000000000000001</v>
      </c>
      <c r="G12" s="108">
        <f>IF(E12=24,$F$48,IF(E12=12,$F$49,IF(E12=9,2-(0.0417*9),IF(E12=10,2-0.0417*10,IF(E12=11,2-0.0417*11,IF(E12=13,2-0.0417*13,IF(E12=14,2-0.0417*14,IF(E12=15,2-0.0417*15,IF(E12=16,2-0.0417*16,IF(E12=17,2-0.0417*17,IF(E12=18,2-0.0417*18,IF(E12=19,2-0.0417*19,IF(E12=20,2-0.0417*20,IF(E12=21,2-0.0417*22,IF(E12=23,2-0.0417*23,IF(E12=8,2-0.0417*8,IF(E12=7,2-0.0417*7,IF(E12=6,2-0.0417*6,IF(E12=5,2-0.0417*5,IF(E12=4,2-0.0417*4,IF(E12=3,2-0.0417*3,IF(E12=2,2-0.0417*2,IF(E12=1,2-0.0417*1)))))))))))))))))))))))</f>
        <v>1</v>
      </c>
      <c r="H12" s="109">
        <v>0</v>
      </c>
      <c r="I12" s="109">
        <v>0</v>
      </c>
      <c r="J12" s="109">
        <v>0</v>
      </c>
      <c r="K12" s="109">
        <v>0.1</v>
      </c>
      <c r="L12" s="109">
        <v>0</v>
      </c>
      <c r="M12" s="106">
        <f>IF(E12=24,ROUND(($C$15+$C$21+$C$23+$C$18+$C$19)*F12,2),ROUND(($C$15+$E$21+$E$23)*F12,2))</f>
        <v>200.65</v>
      </c>
      <c r="N12" s="106">
        <f t="shared" ref="N12" si="3">ROUND((C12*M12)*0.2,2)</f>
        <v>0</v>
      </c>
      <c r="O12" s="106">
        <f t="shared" ref="O12" si="4">ROUND(((C12*M12)+N12)*0.05,2)</f>
        <v>0</v>
      </c>
      <c r="P12" s="110">
        <f t="shared" ref="P12" si="5">ROUND(((C12*M12)++N12+O12),2)</f>
        <v>0</v>
      </c>
    </row>
    <row r="13" spans="1:16" ht="13.5" thickBot="1" x14ac:dyDescent="0.25">
      <c r="B13" s="155"/>
      <c r="C13" s="156"/>
      <c r="D13" s="156"/>
      <c r="E13" s="156"/>
      <c r="H13" s="5"/>
    </row>
    <row r="14" spans="1:16" ht="13.5" thickBot="1" x14ac:dyDescent="0.25">
      <c r="B14" s="40" t="s">
        <v>124</v>
      </c>
      <c r="C14" s="11"/>
      <c r="D14" s="11"/>
      <c r="E14" s="11"/>
      <c r="H14" s="5"/>
    </row>
    <row r="15" spans="1:16" ht="28.5" customHeight="1" outlineLevel="1" x14ac:dyDescent="0.2">
      <c r="B15" s="12"/>
      <c r="C15" s="13">
        <f>ROUND(C16/C17,2)</f>
        <v>117.03</v>
      </c>
      <c r="D15" s="94"/>
      <c r="E15" s="175" t="s">
        <v>62</v>
      </c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7"/>
    </row>
    <row r="16" spans="1:16" ht="23.25" customHeight="1" outlineLevel="1" x14ac:dyDescent="0.2">
      <c r="B16" s="14" t="s">
        <v>1</v>
      </c>
      <c r="C16" s="15">
        <v>19242</v>
      </c>
      <c r="D16" s="92"/>
      <c r="E16" s="157" t="s">
        <v>63</v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9"/>
    </row>
    <row r="17" spans="2:16" outlineLevel="1" x14ac:dyDescent="0.2">
      <c r="B17" s="14" t="s">
        <v>2</v>
      </c>
      <c r="C17" s="15">
        <f>1973/12</f>
        <v>164.41666666666666</v>
      </c>
      <c r="D17" s="92"/>
      <c r="E17" s="157" t="s">
        <v>64</v>
      </c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9"/>
    </row>
    <row r="18" spans="2:16" outlineLevel="1" x14ac:dyDescent="0.2">
      <c r="B18" s="14" t="s">
        <v>133</v>
      </c>
      <c r="C18" s="15">
        <f>ROUND(C15*14/365,2)</f>
        <v>4.49</v>
      </c>
      <c r="D18" s="92"/>
      <c r="E18" s="47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</row>
    <row r="19" spans="2:16" outlineLevel="1" x14ac:dyDescent="0.2">
      <c r="B19" s="14" t="s">
        <v>3</v>
      </c>
      <c r="C19" s="15">
        <f>ROUND(C15*0.2/3,2)</f>
        <v>7.8</v>
      </c>
      <c r="D19" s="15"/>
      <c r="E19" s="16"/>
      <c r="F19" s="167" t="s">
        <v>65</v>
      </c>
      <c r="G19" s="167"/>
      <c r="H19" s="167"/>
      <c r="I19" s="167"/>
      <c r="J19" s="167"/>
      <c r="K19" s="167"/>
      <c r="L19" s="167"/>
      <c r="M19" s="167"/>
      <c r="N19" s="167"/>
      <c r="O19" s="167"/>
      <c r="P19" s="168"/>
    </row>
    <row r="20" spans="2:16" outlineLevel="1" x14ac:dyDescent="0.2">
      <c r="B20" s="154"/>
      <c r="C20" s="17" t="s">
        <v>134</v>
      </c>
      <c r="D20" s="17"/>
      <c r="E20" s="17"/>
      <c r="F20" s="167" t="s">
        <v>66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8"/>
    </row>
    <row r="21" spans="2:16" outlineLevel="1" x14ac:dyDescent="0.2">
      <c r="B21" s="154"/>
      <c r="C21" s="15">
        <f>ROUND((C15+C18+C19)/12,2)</f>
        <v>10.78</v>
      </c>
      <c r="D21" s="15"/>
      <c r="E21" s="15">
        <f>ROUND((C15)/12,2)</f>
        <v>9.75</v>
      </c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8"/>
    </row>
    <row r="22" spans="2:16" outlineLevel="1" x14ac:dyDescent="0.2">
      <c r="B22" s="154" t="s">
        <v>67</v>
      </c>
      <c r="C22" s="15" t="s">
        <v>46</v>
      </c>
      <c r="D22" s="15"/>
      <c r="E22" s="15"/>
      <c r="F22" s="169" t="s">
        <v>68</v>
      </c>
      <c r="G22" s="170"/>
      <c r="H22" s="170"/>
      <c r="I22" s="170"/>
      <c r="J22" s="170"/>
      <c r="K22" s="170"/>
      <c r="L22" s="170"/>
      <c r="M22" s="170"/>
      <c r="N22" s="170"/>
      <c r="O22" s="170"/>
      <c r="P22" s="171"/>
    </row>
    <row r="23" spans="2:16" outlineLevel="1" x14ac:dyDescent="0.2">
      <c r="B23" s="154"/>
      <c r="C23" s="15">
        <f>ROUND((C15+C21+C19+C18)*C24,2)</f>
        <v>42.31</v>
      </c>
      <c r="D23" s="15"/>
      <c r="E23" s="15">
        <f>ROUND((C15+E21)*C24,2)</f>
        <v>38.29</v>
      </c>
      <c r="F23" s="172"/>
      <c r="G23" s="173"/>
      <c r="H23" s="173"/>
      <c r="I23" s="173"/>
      <c r="J23" s="173"/>
      <c r="K23" s="173"/>
      <c r="L23" s="173"/>
      <c r="M23" s="173"/>
      <c r="N23" s="173"/>
      <c r="O23" s="173"/>
      <c r="P23" s="174"/>
    </row>
    <row r="24" spans="2:16" outlineLevel="1" x14ac:dyDescent="0.2">
      <c r="B24" s="14" t="s">
        <v>45</v>
      </c>
      <c r="C24" s="18">
        <v>0.30199999999999999</v>
      </c>
      <c r="D24" s="95"/>
      <c r="E24" s="157" t="s">
        <v>44</v>
      </c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9"/>
    </row>
    <row r="25" spans="2:16" ht="71.25" customHeight="1" outlineLevel="1" x14ac:dyDescent="0.2">
      <c r="B25" s="61" t="s">
        <v>160</v>
      </c>
      <c r="C25" s="103">
        <f>VLOOKUP(C4,Лист1!$A$2:$B$6,2,FALSE)</f>
        <v>1</v>
      </c>
      <c r="D25" s="96"/>
      <c r="E25" s="137" t="s">
        <v>187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9"/>
    </row>
    <row r="26" spans="2:16" ht="30.75" customHeight="1" outlineLevel="1" x14ac:dyDescent="0.2">
      <c r="B26" s="19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7"/>
    </row>
    <row r="27" spans="2:16" ht="29.25" customHeight="1" outlineLevel="1" x14ac:dyDescent="0.2">
      <c r="B27" s="19"/>
      <c r="C27" s="126" t="s">
        <v>69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7"/>
    </row>
    <row r="28" spans="2:16" ht="27" customHeight="1" outlineLevel="1" x14ac:dyDescent="0.2">
      <c r="B28" s="19"/>
      <c r="C28" s="126" t="s">
        <v>70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7"/>
    </row>
    <row r="29" spans="2:16" ht="17.25" customHeight="1" outlineLevel="1" x14ac:dyDescent="0.2">
      <c r="B29" s="19" t="s">
        <v>71</v>
      </c>
      <c r="C29" s="126" t="s">
        <v>72</v>
      </c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7"/>
    </row>
    <row r="30" spans="2:16" ht="36" customHeight="1" outlineLevel="1" x14ac:dyDescent="0.2">
      <c r="B30" s="19"/>
      <c r="C30" s="126" t="s">
        <v>73</v>
      </c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7"/>
    </row>
    <row r="31" spans="2:16" ht="17.25" customHeight="1" outlineLevel="1" x14ac:dyDescent="0.2">
      <c r="B31" s="19" t="s">
        <v>74</v>
      </c>
      <c r="C31" s="126" t="s">
        <v>75</v>
      </c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7"/>
    </row>
    <row r="32" spans="2:16" ht="28.5" customHeight="1" outlineLevel="1" x14ac:dyDescent="0.2">
      <c r="B32" s="20" t="s">
        <v>77</v>
      </c>
      <c r="C32" s="126" t="s">
        <v>76</v>
      </c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7"/>
    </row>
    <row r="33" spans="2:16" ht="17.25" customHeight="1" outlineLevel="1" x14ac:dyDescent="0.2">
      <c r="B33" s="19" t="s">
        <v>78</v>
      </c>
      <c r="C33" s="126" t="s">
        <v>80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7"/>
    </row>
    <row r="34" spans="2:16" ht="17.25" customHeight="1" outlineLevel="1" x14ac:dyDescent="0.2">
      <c r="B34" s="19" t="s">
        <v>79</v>
      </c>
      <c r="C34" s="126" t="s">
        <v>81</v>
      </c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7"/>
    </row>
    <row r="35" spans="2:16" ht="17.25" customHeight="1" outlineLevel="1" x14ac:dyDescent="0.2">
      <c r="B35" s="19" t="s">
        <v>82</v>
      </c>
      <c r="C35" s="126" t="s">
        <v>83</v>
      </c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7"/>
    </row>
    <row r="36" spans="2:16" ht="17.25" customHeight="1" outlineLevel="1" x14ac:dyDescent="0.2">
      <c r="B36" s="19" t="s">
        <v>84</v>
      </c>
      <c r="C36" s="126" t="s">
        <v>85</v>
      </c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7"/>
    </row>
    <row r="37" spans="2:16" ht="17.25" customHeight="1" outlineLevel="1" x14ac:dyDescent="0.2">
      <c r="B37" s="19" t="s">
        <v>86</v>
      </c>
      <c r="C37" s="126" t="s">
        <v>95</v>
      </c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7"/>
    </row>
    <row r="38" spans="2:16" ht="17.25" customHeight="1" outlineLevel="1" x14ac:dyDescent="0.2">
      <c r="B38" s="19" t="s">
        <v>87</v>
      </c>
      <c r="C38" s="126" t="s">
        <v>96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  <row r="39" spans="2:16" ht="17.25" customHeight="1" outlineLevel="1" x14ac:dyDescent="0.2">
      <c r="B39" s="19" t="s">
        <v>88</v>
      </c>
      <c r="C39" s="126" t="s">
        <v>97</v>
      </c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7"/>
    </row>
    <row r="40" spans="2:16" ht="17.25" customHeight="1" outlineLevel="1" x14ac:dyDescent="0.2">
      <c r="B40" s="19" t="s">
        <v>89</v>
      </c>
      <c r="C40" s="126" t="s">
        <v>98</v>
      </c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7"/>
    </row>
    <row r="41" spans="2:16" ht="17.25" customHeight="1" outlineLevel="1" x14ac:dyDescent="0.2">
      <c r="B41" s="19" t="s">
        <v>90</v>
      </c>
      <c r="C41" s="126" t="s">
        <v>99</v>
      </c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7"/>
    </row>
    <row r="42" spans="2:16" ht="17.25" customHeight="1" outlineLevel="1" x14ac:dyDescent="0.2">
      <c r="B42" s="19" t="s">
        <v>91</v>
      </c>
      <c r="C42" s="130" t="s">
        <v>100</v>
      </c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2"/>
    </row>
    <row r="43" spans="2:16" ht="17.25" customHeight="1" outlineLevel="1" x14ac:dyDescent="0.2">
      <c r="B43" s="19" t="s">
        <v>92</v>
      </c>
      <c r="C43" s="126" t="s">
        <v>101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7"/>
    </row>
    <row r="44" spans="2:16" ht="17.25" customHeight="1" outlineLevel="1" x14ac:dyDescent="0.2">
      <c r="B44" s="19" t="s">
        <v>93</v>
      </c>
      <c r="C44" s="126" t="s">
        <v>102</v>
      </c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7"/>
    </row>
    <row r="45" spans="2:16" ht="13.5" outlineLevel="1" thickBot="1" x14ac:dyDescent="0.25">
      <c r="B45" s="21" t="s">
        <v>48</v>
      </c>
      <c r="C45" s="22">
        <v>1.2</v>
      </c>
      <c r="D45" s="97"/>
      <c r="E45" s="119" t="s">
        <v>94</v>
      </c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1"/>
    </row>
    <row r="46" spans="2:16" ht="13.5" thickBot="1" x14ac:dyDescent="0.25">
      <c r="H46" s="5"/>
    </row>
    <row r="47" spans="2:16" ht="15.75" customHeight="1" thickBot="1" x14ac:dyDescent="0.25">
      <c r="B47" s="146" t="s">
        <v>21</v>
      </c>
      <c r="C47" s="147"/>
      <c r="D47" s="147"/>
      <c r="E47" s="147"/>
      <c r="F47" s="148" t="s">
        <v>106</v>
      </c>
      <c r="G47" s="149"/>
      <c r="H47" s="149"/>
      <c r="I47" s="149"/>
      <c r="J47" s="149"/>
      <c r="K47" s="31"/>
    </row>
    <row r="48" spans="2:16" ht="13.5" customHeight="1" x14ac:dyDescent="0.2">
      <c r="B48" s="144" t="s">
        <v>23</v>
      </c>
      <c r="C48" s="145"/>
      <c r="D48" s="145"/>
      <c r="E48" s="145"/>
      <c r="F48" s="150">
        <v>1</v>
      </c>
      <c r="G48" s="151"/>
      <c r="H48" s="151"/>
      <c r="I48" s="151"/>
      <c r="J48" s="151"/>
      <c r="K48" s="32" t="s">
        <v>19</v>
      </c>
    </row>
    <row r="49" spans="2:11" ht="12.75" customHeight="1" x14ac:dyDescent="0.2">
      <c r="B49" s="133" t="s">
        <v>25</v>
      </c>
      <c r="C49" s="134"/>
      <c r="D49" s="134"/>
      <c r="E49" s="134"/>
      <c r="F49" s="140">
        <v>1.5</v>
      </c>
      <c r="G49" s="141"/>
      <c r="H49" s="141"/>
      <c r="I49" s="141"/>
      <c r="J49" s="141"/>
      <c r="K49" s="32" t="s">
        <v>19</v>
      </c>
    </row>
    <row r="50" spans="2:11" ht="15.75" customHeight="1" x14ac:dyDescent="0.2">
      <c r="B50" s="133" t="s">
        <v>27</v>
      </c>
      <c r="C50" s="134"/>
      <c r="D50" s="134"/>
      <c r="E50" s="134"/>
      <c r="F50" s="140" t="s">
        <v>28</v>
      </c>
      <c r="G50" s="141"/>
      <c r="H50" s="141"/>
      <c r="I50" s="141"/>
      <c r="J50" s="141"/>
      <c r="K50" s="32" t="s">
        <v>19</v>
      </c>
    </row>
    <row r="51" spans="2:11" ht="32.25" customHeight="1" thickBot="1" x14ac:dyDescent="0.25">
      <c r="B51" s="135"/>
      <c r="C51" s="136"/>
      <c r="D51" s="136"/>
      <c r="E51" s="136"/>
      <c r="F51" s="128" t="s">
        <v>107</v>
      </c>
      <c r="G51" s="128"/>
      <c r="H51" s="128"/>
      <c r="I51" s="128"/>
      <c r="J51" s="129"/>
      <c r="K51" s="33" t="s">
        <v>19</v>
      </c>
    </row>
    <row r="52" spans="2:11" ht="13.5" thickBot="1" x14ac:dyDescent="0.25"/>
    <row r="53" spans="2:11" s="23" customFormat="1" ht="15.75" customHeight="1" thickBot="1" x14ac:dyDescent="0.25">
      <c r="B53" s="160" t="s">
        <v>34</v>
      </c>
      <c r="C53" s="161"/>
      <c r="D53" s="162"/>
      <c r="E53" s="162"/>
      <c r="F53" s="124" t="s">
        <v>43</v>
      </c>
      <c r="G53" s="125"/>
      <c r="H53" s="6"/>
    </row>
    <row r="54" spans="2:11" s="24" customFormat="1" ht="17.25" customHeight="1" x14ac:dyDescent="0.25">
      <c r="B54" s="144" t="s">
        <v>35</v>
      </c>
      <c r="C54" s="145"/>
      <c r="D54" s="145"/>
      <c r="E54" s="145"/>
      <c r="F54" s="34">
        <v>0.05</v>
      </c>
      <c r="G54" s="39" t="s">
        <v>29</v>
      </c>
      <c r="H54" s="9"/>
    </row>
    <row r="55" spans="2:11" s="24" customFormat="1" ht="19.5" customHeight="1" x14ac:dyDescent="0.25">
      <c r="B55" s="133" t="s">
        <v>36</v>
      </c>
      <c r="C55" s="134"/>
      <c r="D55" s="134"/>
      <c r="E55" s="134"/>
      <c r="F55" s="35">
        <v>0.2</v>
      </c>
      <c r="G55" s="37" t="s">
        <v>30</v>
      </c>
      <c r="H55" s="9"/>
    </row>
    <row r="56" spans="2:11" s="24" customFormat="1" ht="23.25" customHeight="1" x14ac:dyDescent="0.25">
      <c r="B56" s="133" t="s">
        <v>37</v>
      </c>
      <c r="C56" s="134"/>
      <c r="D56" s="134"/>
      <c r="E56" s="134"/>
      <c r="F56" s="35">
        <v>0.3</v>
      </c>
      <c r="G56" s="37" t="s">
        <v>31</v>
      </c>
      <c r="H56" s="9"/>
    </row>
    <row r="57" spans="2:11" s="24" customFormat="1" ht="55.5" customHeight="1" x14ac:dyDescent="0.25">
      <c r="B57" s="133" t="s">
        <v>39</v>
      </c>
      <c r="C57" s="134"/>
      <c r="D57" s="134"/>
      <c r="E57" s="134"/>
      <c r="F57" s="35">
        <v>0.1</v>
      </c>
      <c r="G57" s="37" t="s">
        <v>32</v>
      </c>
      <c r="H57" s="9"/>
    </row>
    <row r="58" spans="2:11" s="24" customFormat="1" ht="31.5" customHeight="1" thickBot="1" x14ac:dyDescent="0.3">
      <c r="B58" s="135" t="s">
        <v>41</v>
      </c>
      <c r="C58" s="136"/>
      <c r="D58" s="136"/>
      <c r="E58" s="136"/>
      <c r="F58" s="36">
        <v>0.05</v>
      </c>
      <c r="G58" s="38" t="s">
        <v>33</v>
      </c>
      <c r="H58" s="9"/>
    </row>
  </sheetData>
  <dataConsolidate/>
  <mergeCells count="54">
    <mergeCell ref="C38:P38"/>
    <mergeCell ref="E3:G3"/>
    <mergeCell ref="C28:P28"/>
    <mergeCell ref="C29:P29"/>
    <mergeCell ref="C30:P30"/>
    <mergeCell ref="C31:P31"/>
    <mergeCell ref="C27:P27"/>
    <mergeCell ref="C26:P26"/>
    <mergeCell ref="C32:P32"/>
    <mergeCell ref="F9:P9"/>
    <mergeCell ref="F19:P19"/>
    <mergeCell ref="F20:P21"/>
    <mergeCell ref="F22:P23"/>
    <mergeCell ref="E15:P15"/>
    <mergeCell ref="E16:P16"/>
    <mergeCell ref="E17:P17"/>
    <mergeCell ref="B58:E58"/>
    <mergeCell ref="B53:E53"/>
    <mergeCell ref="B54:E54"/>
    <mergeCell ref="B55:E55"/>
    <mergeCell ref="B56:E56"/>
    <mergeCell ref="B57:E57"/>
    <mergeCell ref="E25:P25"/>
    <mergeCell ref="F49:J49"/>
    <mergeCell ref="C39:P39"/>
    <mergeCell ref="F50:J50"/>
    <mergeCell ref="B2:P2"/>
    <mergeCell ref="O3:P3"/>
    <mergeCell ref="B48:E48"/>
    <mergeCell ref="B47:E47"/>
    <mergeCell ref="F47:J47"/>
    <mergeCell ref="F48:J48"/>
    <mergeCell ref="C9:E9"/>
    <mergeCell ref="B9:B10"/>
    <mergeCell ref="B20:B21"/>
    <mergeCell ref="B22:B23"/>
    <mergeCell ref="B13:E13"/>
    <mergeCell ref="E24:P24"/>
    <mergeCell ref="E45:P45"/>
    <mergeCell ref="A9:A10"/>
    <mergeCell ref="F53:G53"/>
    <mergeCell ref="C33:P33"/>
    <mergeCell ref="C34:P34"/>
    <mergeCell ref="C35:P35"/>
    <mergeCell ref="C36:P36"/>
    <mergeCell ref="C37:P37"/>
    <mergeCell ref="F51:J51"/>
    <mergeCell ref="C43:P43"/>
    <mergeCell ref="C44:P44"/>
    <mergeCell ref="C40:P40"/>
    <mergeCell ref="C41:P41"/>
    <mergeCell ref="C42:P42"/>
    <mergeCell ref="B49:E49"/>
    <mergeCell ref="B50:E51"/>
  </mergeCells>
  <phoneticPr fontId="17" type="noConversion"/>
  <hyperlinks>
    <hyperlink ref="E3:G3" r:id="rId1" display="Калькулятор дней" xr:uid="{00000000-0004-0000-0000-000000000000}"/>
  </hyperlinks>
  <pageMargins left="0.25" right="0.25" top="0.75" bottom="0.75" header="0.3" footer="0.3"/>
  <pageSetup paperSize="9" scale="99" fitToHeight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Лист1!$A$17:$A$40</xm:f>
          </x14:formula1>
          <xm:sqref>E11:E12</xm:sqref>
        </x14:dataValidation>
        <x14:dataValidation type="list" allowBlank="1" showInputMessage="1" showErrorMessage="1" xr:uid="{00000000-0002-0000-0000-000000000000}">
          <x14:formula1>
            <xm:f>Лист1!$A$7:$A$12</xm:f>
          </x14:formula1>
          <xm:sqref>D4</xm:sqref>
        </x14:dataValidation>
        <x14:dataValidation type="list" allowBlank="1" showInputMessage="1" showErrorMessage="1" xr:uid="{00000000-0002-0000-0000-000001000000}">
          <x14:formula1>
            <xm:f>Лист1!$A$2:$A$6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workbookViewId="0">
      <selection activeCell="J6" sqref="J6"/>
    </sheetView>
  </sheetViews>
  <sheetFormatPr defaultRowHeight="15" x14ac:dyDescent="0.25"/>
  <cols>
    <col min="1" max="1" width="27.28515625" customWidth="1"/>
    <col min="2" max="2" width="11" customWidth="1"/>
    <col min="3" max="3" width="10" bestFit="1" customWidth="1"/>
    <col min="4" max="6" width="11.42578125" customWidth="1"/>
    <col min="7" max="7" width="18.28515625" customWidth="1"/>
  </cols>
  <sheetData>
    <row r="1" spans="1:10" x14ac:dyDescent="0.25">
      <c r="A1" s="179" t="s">
        <v>150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ht="25.5" customHeight="1" x14ac:dyDescent="0.25">
      <c r="A2" s="178" t="s">
        <v>148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25.5" x14ac:dyDescent="0.25">
      <c r="A3" s="180" t="s">
        <v>138</v>
      </c>
      <c r="B3" s="180" t="s">
        <v>139</v>
      </c>
      <c r="C3" s="180" t="s">
        <v>149</v>
      </c>
      <c r="D3" s="52" t="s">
        <v>140</v>
      </c>
      <c r="E3" s="52" t="s">
        <v>141</v>
      </c>
      <c r="F3" s="52" t="s">
        <v>142</v>
      </c>
      <c r="G3" s="52" t="s">
        <v>143</v>
      </c>
      <c r="H3" s="180" t="s">
        <v>144</v>
      </c>
      <c r="I3" s="180" t="s">
        <v>145</v>
      </c>
      <c r="J3" s="180" t="s">
        <v>146</v>
      </c>
    </row>
    <row r="4" spans="1:10" ht="56.25" customHeight="1" x14ac:dyDescent="0.25">
      <c r="A4" s="180"/>
      <c r="B4" s="180"/>
      <c r="C4" s="180"/>
      <c r="D4" s="52" t="s">
        <v>223</v>
      </c>
      <c r="E4" s="52" t="s">
        <v>224</v>
      </c>
      <c r="F4" s="52" t="s">
        <v>225</v>
      </c>
      <c r="G4" s="52" t="s">
        <v>147</v>
      </c>
      <c r="H4" s="180"/>
      <c r="I4" s="180"/>
      <c r="J4" s="180"/>
    </row>
    <row r="5" spans="1:10" x14ac:dyDescent="0.25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</row>
    <row r="6" spans="1:10" x14ac:dyDescent="0.25">
      <c r="A6" s="55"/>
      <c r="B6" s="55"/>
      <c r="C6" s="55">
        <v>0</v>
      </c>
      <c r="D6" s="56">
        <v>0</v>
      </c>
      <c r="E6" s="56">
        <v>0</v>
      </c>
      <c r="F6" s="56">
        <v>0</v>
      </c>
      <c r="G6" s="57">
        <f>IFERROR(ROUND(AVERAGE(D6:F6),2)," ")</f>
        <v>0</v>
      </c>
      <c r="H6" s="57">
        <f>IFERROR(STDEV(D6:F6)," ")</f>
        <v>0</v>
      </c>
      <c r="I6" s="57" t="str">
        <f>IFERROR(H6/G6*100," ")</f>
        <v xml:space="preserve"> </v>
      </c>
      <c r="J6" s="54" t="str">
        <f>IFERROR(IF(I6&lt;15,"Да","Нет")," ")</f>
        <v>Нет</v>
      </c>
    </row>
    <row r="8" spans="1:10" x14ac:dyDescent="0.25">
      <c r="A8" s="178" t="s">
        <v>151</v>
      </c>
      <c r="B8" s="178"/>
      <c r="C8" s="178"/>
      <c r="D8" s="178"/>
      <c r="E8" s="178"/>
      <c r="F8" s="178"/>
      <c r="G8" s="178"/>
      <c r="H8" s="178"/>
      <c r="I8" s="178"/>
      <c r="J8" s="178"/>
    </row>
    <row r="9" spans="1:10" ht="49.5" customHeight="1" x14ac:dyDescent="0.25">
      <c r="A9" s="180" t="s">
        <v>138</v>
      </c>
      <c r="B9" s="180" t="s">
        <v>139</v>
      </c>
      <c r="C9" s="180" t="s">
        <v>155</v>
      </c>
      <c r="D9" s="52" t="s">
        <v>140</v>
      </c>
      <c r="E9" s="52" t="s">
        <v>141</v>
      </c>
      <c r="F9" s="52" t="s">
        <v>142</v>
      </c>
      <c r="G9" s="52" t="s">
        <v>143</v>
      </c>
      <c r="H9" s="180" t="s">
        <v>144</v>
      </c>
      <c r="I9" s="180" t="s">
        <v>145</v>
      </c>
      <c r="J9" s="180" t="s">
        <v>146</v>
      </c>
    </row>
    <row r="10" spans="1:10" ht="49.5" customHeight="1" x14ac:dyDescent="0.25">
      <c r="A10" s="180"/>
      <c r="B10" s="180"/>
      <c r="C10" s="180"/>
      <c r="D10" s="53"/>
      <c r="E10" s="53"/>
      <c r="F10" s="53"/>
      <c r="G10" s="52" t="s">
        <v>154</v>
      </c>
      <c r="H10" s="180"/>
      <c r="I10" s="180"/>
      <c r="J10" s="180"/>
    </row>
    <row r="11" spans="1:10" x14ac:dyDescent="0.25">
      <c r="A11" s="54">
        <v>1</v>
      </c>
      <c r="B11" s="54">
        <v>2</v>
      </c>
      <c r="C11" s="54">
        <v>3</v>
      </c>
      <c r="D11" s="54">
        <v>4</v>
      </c>
      <c r="E11" s="54">
        <v>5</v>
      </c>
      <c r="F11" s="54">
        <v>6</v>
      </c>
      <c r="G11" s="54">
        <v>7</v>
      </c>
      <c r="H11" s="54">
        <v>8</v>
      </c>
      <c r="I11" s="54">
        <v>9</v>
      </c>
      <c r="J11" s="54">
        <v>10</v>
      </c>
    </row>
    <row r="12" spans="1:10" x14ac:dyDescent="0.25">
      <c r="A12" s="55"/>
      <c r="B12" s="55"/>
      <c r="C12" s="55">
        <v>0</v>
      </c>
      <c r="D12" s="56">
        <v>0</v>
      </c>
      <c r="E12" s="56">
        <v>0</v>
      </c>
      <c r="F12" s="56">
        <v>0</v>
      </c>
      <c r="G12" s="57">
        <f>IFERROR(ROUND(AVERAGE(D12:F12),2)," ")</f>
        <v>0</v>
      </c>
      <c r="H12" s="57">
        <f>IFERROR(STDEV(D12:F12)," ")</f>
        <v>0</v>
      </c>
      <c r="I12" s="57" t="str">
        <f>IFERROR(H12/G12*100," ")</f>
        <v xml:space="preserve"> </v>
      </c>
      <c r="J12" s="54" t="str">
        <f>IFERROR(IF(I12&lt;15,"Да","Нет")," ")</f>
        <v>Нет</v>
      </c>
    </row>
    <row r="14" spans="1:10" x14ac:dyDescent="0.25">
      <c r="A14" s="178" t="s">
        <v>152</v>
      </c>
      <c r="B14" s="178"/>
      <c r="C14" s="178"/>
      <c r="D14" s="178"/>
      <c r="E14" s="178"/>
      <c r="F14" s="178"/>
      <c r="G14" s="178"/>
      <c r="H14" s="178"/>
      <c r="I14" s="178"/>
      <c r="J14" s="178"/>
    </row>
    <row r="15" spans="1:10" ht="25.5" x14ac:dyDescent="0.25">
      <c r="A15" s="180" t="s">
        <v>138</v>
      </c>
      <c r="B15" s="180" t="s">
        <v>139</v>
      </c>
      <c r="C15" s="180" t="s">
        <v>159</v>
      </c>
      <c r="D15" s="52" t="s">
        <v>140</v>
      </c>
      <c r="E15" s="52" t="s">
        <v>141</v>
      </c>
      <c r="F15" s="52" t="s">
        <v>142</v>
      </c>
      <c r="G15" s="52" t="s">
        <v>143</v>
      </c>
      <c r="H15" s="180" t="s">
        <v>144</v>
      </c>
      <c r="I15" s="180" t="s">
        <v>145</v>
      </c>
      <c r="J15" s="180" t="s">
        <v>146</v>
      </c>
    </row>
    <row r="16" spans="1:10" ht="38.25" x14ac:dyDescent="0.25">
      <c r="A16" s="180"/>
      <c r="B16" s="180"/>
      <c r="C16" s="180"/>
      <c r="D16" s="53"/>
      <c r="E16" s="53"/>
      <c r="F16" s="53"/>
      <c r="G16" s="52" t="s">
        <v>156</v>
      </c>
      <c r="H16" s="180"/>
      <c r="I16" s="180"/>
      <c r="J16" s="180"/>
    </row>
    <row r="17" spans="1:10" x14ac:dyDescent="0.25">
      <c r="A17" s="54">
        <v>1</v>
      </c>
      <c r="B17" s="54">
        <v>2</v>
      </c>
      <c r="C17" s="54">
        <v>3</v>
      </c>
      <c r="D17" s="54">
        <v>4</v>
      </c>
      <c r="E17" s="54">
        <v>5</v>
      </c>
      <c r="F17" s="54">
        <v>6</v>
      </c>
      <c r="G17" s="54">
        <v>7</v>
      </c>
      <c r="H17" s="54">
        <v>8</v>
      </c>
      <c r="I17" s="54">
        <v>9</v>
      </c>
      <c r="J17" s="54">
        <v>10</v>
      </c>
    </row>
    <row r="18" spans="1:10" x14ac:dyDescent="0.25">
      <c r="A18" s="55"/>
      <c r="B18" s="55"/>
      <c r="C18" s="55">
        <v>0</v>
      </c>
      <c r="D18" s="56">
        <v>0</v>
      </c>
      <c r="E18" s="56">
        <v>0</v>
      </c>
      <c r="F18" s="56">
        <v>0</v>
      </c>
      <c r="G18" s="57">
        <f>IFERROR(ROUND(AVERAGE(D18:F18),2)," ")</f>
        <v>0</v>
      </c>
      <c r="H18" s="57">
        <f>IFERROR(STDEV(D18:F18)," ")</f>
        <v>0</v>
      </c>
      <c r="I18" s="57" t="str">
        <f>IFERROR(H18/G18*100," ")</f>
        <v xml:space="preserve"> </v>
      </c>
      <c r="J18" s="54" t="str">
        <f>IFERROR(IF(I18&lt;15,"Да","Нет")," ")</f>
        <v>Нет</v>
      </c>
    </row>
    <row r="20" spans="1:10" x14ac:dyDescent="0.25">
      <c r="A20" s="178" t="s">
        <v>153</v>
      </c>
      <c r="B20" s="178"/>
      <c r="C20" s="178"/>
      <c r="D20" s="178"/>
      <c r="E20" s="178"/>
      <c r="F20" s="178"/>
      <c r="G20" s="178"/>
      <c r="H20" s="178"/>
      <c r="I20" s="178"/>
      <c r="J20" s="178"/>
    </row>
    <row r="21" spans="1:10" ht="25.5" x14ac:dyDescent="0.25">
      <c r="A21" s="180" t="s">
        <v>138</v>
      </c>
      <c r="B21" s="180" t="s">
        <v>139</v>
      </c>
      <c r="C21" s="180" t="s">
        <v>157</v>
      </c>
      <c r="D21" s="52" t="s">
        <v>140</v>
      </c>
      <c r="E21" s="52" t="s">
        <v>141</v>
      </c>
      <c r="F21" s="52" t="s">
        <v>142</v>
      </c>
      <c r="G21" s="52" t="s">
        <v>143</v>
      </c>
      <c r="H21" s="180" t="s">
        <v>144</v>
      </c>
      <c r="I21" s="180" t="s">
        <v>145</v>
      </c>
      <c r="J21" s="180" t="s">
        <v>146</v>
      </c>
    </row>
    <row r="22" spans="1:10" ht="25.5" x14ac:dyDescent="0.25">
      <c r="A22" s="180"/>
      <c r="B22" s="180"/>
      <c r="C22" s="180"/>
      <c r="D22" s="53"/>
      <c r="E22" s="53"/>
      <c r="F22" s="53"/>
      <c r="G22" s="52" t="s">
        <v>158</v>
      </c>
      <c r="H22" s="180"/>
      <c r="I22" s="180"/>
      <c r="J22" s="180"/>
    </row>
    <row r="23" spans="1:10" x14ac:dyDescent="0.25">
      <c r="A23" s="54">
        <v>1</v>
      </c>
      <c r="B23" s="54">
        <v>2</v>
      </c>
      <c r="C23" s="54">
        <v>3</v>
      </c>
      <c r="D23" s="54">
        <v>4</v>
      </c>
      <c r="E23" s="54">
        <v>5</v>
      </c>
      <c r="F23" s="54">
        <v>6</v>
      </c>
      <c r="G23" s="54">
        <v>7</v>
      </c>
      <c r="H23" s="54">
        <v>8</v>
      </c>
      <c r="I23" s="54">
        <v>9</v>
      </c>
      <c r="J23" s="54">
        <v>10</v>
      </c>
    </row>
    <row r="24" spans="1:10" x14ac:dyDescent="0.25">
      <c r="A24" s="55"/>
      <c r="B24" s="55"/>
      <c r="C24" s="55">
        <v>0</v>
      </c>
      <c r="D24" s="56">
        <v>0</v>
      </c>
      <c r="E24" s="56">
        <v>0</v>
      </c>
      <c r="F24" s="56">
        <v>0</v>
      </c>
      <c r="G24" s="57">
        <f>IFERROR(ROUND(AVERAGE(D24:F24),2)," ")</f>
        <v>0</v>
      </c>
      <c r="H24" s="57">
        <f>IFERROR(STDEV(D24:F24)," ")</f>
        <v>0</v>
      </c>
      <c r="I24" s="57" t="str">
        <f>IFERROR(H24/G24*100," ")</f>
        <v xml:space="preserve"> </v>
      </c>
      <c r="J24" s="54" t="str">
        <f>IFERROR(IF(I24&lt;15,"Да","Нет")," ")</f>
        <v>Нет</v>
      </c>
    </row>
  </sheetData>
  <mergeCells count="29">
    <mergeCell ref="A20:J20"/>
    <mergeCell ref="A21:A22"/>
    <mergeCell ref="B21:B22"/>
    <mergeCell ref="C21:C22"/>
    <mergeCell ref="H21:H22"/>
    <mergeCell ref="I21:I22"/>
    <mergeCell ref="J21:J22"/>
    <mergeCell ref="A14:J14"/>
    <mergeCell ref="A15:A16"/>
    <mergeCell ref="B15:B16"/>
    <mergeCell ref="C15:C16"/>
    <mergeCell ref="H15:H16"/>
    <mergeCell ref="I15:I16"/>
    <mergeCell ref="J15:J16"/>
    <mergeCell ref="A8:J8"/>
    <mergeCell ref="A9:A10"/>
    <mergeCell ref="B9:B10"/>
    <mergeCell ref="C9:C10"/>
    <mergeCell ref="H9:H10"/>
    <mergeCell ref="I9:I10"/>
    <mergeCell ref="J9:J10"/>
    <mergeCell ref="A2:J2"/>
    <mergeCell ref="A1:J1"/>
    <mergeCell ref="H3:H4"/>
    <mergeCell ref="I3:I4"/>
    <mergeCell ref="J3:J4"/>
    <mergeCell ref="A3:A4"/>
    <mergeCell ref="B3:B4"/>
    <mergeCell ref="C3:C4"/>
  </mergeCells>
  <phoneticPr fontId="17" type="noConversion"/>
  <conditionalFormatting sqref="D6:F6">
    <cfRule type="cellIs" dxfId="15" priority="1" operator="greaterThan">
      <formula>#REF!</formula>
    </cfRule>
  </conditionalFormatting>
  <conditionalFormatting sqref="D12:F12">
    <cfRule type="cellIs" dxfId="14" priority="20" operator="greaterThan">
      <formula>#REF!</formula>
    </cfRule>
  </conditionalFormatting>
  <conditionalFormatting sqref="D18:F18">
    <cfRule type="cellIs" dxfId="13" priority="16" operator="greaterThan">
      <formula>#REF!</formula>
    </cfRule>
  </conditionalFormatting>
  <conditionalFormatting sqref="D24:F24">
    <cfRule type="cellIs" dxfId="12" priority="12" operator="greaterThan">
      <formula>#REF!</formula>
    </cfRule>
  </conditionalFormatting>
  <conditionalFormatting sqref="I6">
    <cfRule type="cellIs" dxfId="11" priority="23" operator="greaterThan">
      <formula>33</formula>
    </cfRule>
  </conditionalFormatting>
  <conditionalFormatting sqref="I12">
    <cfRule type="cellIs" dxfId="10" priority="18" operator="greaterThan">
      <formula>33</formula>
    </cfRule>
  </conditionalFormatting>
  <conditionalFormatting sqref="I18">
    <cfRule type="cellIs" dxfId="9" priority="14" operator="greaterThan">
      <formula>33</formula>
    </cfRule>
  </conditionalFormatting>
  <conditionalFormatting sqref="I24">
    <cfRule type="cellIs" dxfId="8" priority="10" operator="greaterThan">
      <formula>33</formula>
    </cfRule>
  </conditionalFormatting>
  <conditionalFormatting sqref="J6">
    <cfRule type="containsText" dxfId="7" priority="22" operator="containsText" text="Нет">
      <formula>NOT(ISERROR(SEARCH("Нет",J6)))</formula>
    </cfRule>
    <cfRule type="containsText" dxfId="6" priority="24" operator="containsText" text="Ложь">
      <formula>NOT(ISERROR(SEARCH("Ложь",J6)))</formula>
    </cfRule>
  </conditionalFormatting>
  <conditionalFormatting sqref="J12">
    <cfRule type="containsText" dxfId="5" priority="7" operator="containsText" text="Нет">
      <formula>NOT(ISERROR(SEARCH("Нет",J12)))</formula>
    </cfRule>
    <cfRule type="containsText" dxfId="4" priority="8" operator="containsText" text="Ложь">
      <formula>NOT(ISERROR(SEARCH("Ложь",J12)))</formula>
    </cfRule>
  </conditionalFormatting>
  <conditionalFormatting sqref="J18">
    <cfRule type="containsText" dxfId="3" priority="5" operator="containsText" text="Нет">
      <formula>NOT(ISERROR(SEARCH("Нет",J18)))</formula>
    </cfRule>
    <cfRule type="containsText" dxfId="2" priority="6" operator="containsText" text="Ложь">
      <formula>NOT(ISERROR(SEARCH("Ложь",J18)))</formula>
    </cfRule>
  </conditionalFormatting>
  <conditionalFormatting sqref="J24">
    <cfRule type="containsText" dxfId="1" priority="3" operator="containsText" text="Нет">
      <formula>NOT(ISERROR(SEARCH("Нет",J24)))</formula>
    </cfRule>
    <cfRule type="containsText" dxfId="0" priority="4" operator="containsText" text="Ложь">
      <formula>NOT(ISERROR(SEARCH("Ложь",J24)))</formula>
    </cfRule>
  </conditionalFormatting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9"/>
  <sheetViews>
    <sheetView showGridLines="0" workbookViewId="0">
      <selection activeCell="F13" sqref="F13"/>
    </sheetView>
  </sheetViews>
  <sheetFormatPr defaultColWidth="9.140625" defaultRowHeight="12.75" outlineLevelRow="1" x14ac:dyDescent="0.2"/>
  <cols>
    <col min="1" max="1" width="7.7109375" style="5" customWidth="1"/>
    <col min="2" max="2" width="44.85546875" style="5" customWidth="1"/>
    <col min="3" max="3" width="10.7109375" style="5" customWidth="1"/>
    <col min="4" max="4" width="9.140625" style="5"/>
    <col min="5" max="5" width="8.42578125" style="5" customWidth="1"/>
    <col min="6" max="6" width="6" style="5" bestFit="1" customWidth="1"/>
    <col min="7" max="7" width="5.5703125" style="6" customWidth="1"/>
    <col min="8" max="8" width="7.5703125" style="5" customWidth="1"/>
    <col min="9" max="10" width="5.7109375" style="5" customWidth="1"/>
    <col min="11" max="11" width="5.5703125" style="5" customWidth="1"/>
    <col min="12" max="12" width="7.5703125" style="5" hidden="1" customWidth="1"/>
    <col min="13" max="13" width="9.7109375" style="5" customWidth="1"/>
    <col min="14" max="14" width="9.28515625" style="5" hidden="1" customWidth="1"/>
    <col min="15" max="15" width="11.42578125" style="5" customWidth="1"/>
    <col min="16" max="16" width="13.5703125" style="5" customWidth="1"/>
    <col min="17" max="17" width="9.140625" style="5"/>
    <col min="18" max="24" width="9.140625" style="5" hidden="1" customWidth="1"/>
    <col min="25" max="16384" width="9.140625" style="5"/>
  </cols>
  <sheetData>
    <row r="1" spans="1:24" x14ac:dyDescent="0.2">
      <c r="B1" s="5" t="s">
        <v>61</v>
      </c>
    </row>
    <row r="2" spans="1:24" ht="18.75" customHeight="1" x14ac:dyDescent="0.2">
      <c r="B2" s="142" t="s">
        <v>108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24" ht="24" customHeight="1" x14ac:dyDescent="0.2">
      <c r="B3" s="42" t="s">
        <v>60</v>
      </c>
      <c r="C3" s="43">
        <f>SUM(O13:O13)</f>
        <v>325010.06966843305</v>
      </c>
      <c r="G3" s="5"/>
      <c r="K3" s="8"/>
      <c r="L3" s="8"/>
      <c r="M3" s="8"/>
      <c r="N3" s="143"/>
      <c r="O3" s="143"/>
    </row>
    <row r="4" spans="1:24" ht="24" customHeight="1" x14ac:dyDescent="0.2">
      <c r="B4" s="7" t="s">
        <v>127</v>
      </c>
      <c r="C4" s="41" t="s">
        <v>126</v>
      </c>
      <c r="G4" s="5"/>
      <c r="K4" s="8"/>
      <c r="L4" s="8"/>
      <c r="M4" s="8"/>
      <c r="N4" s="10"/>
      <c r="O4" s="10"/>
    </row>
    <row r="5" spans="1:24" x14ac:dyDescent="0.2">
      <c r="B5" s="25" t="s">
        <v>109</v>
      </c>
      <c r="C5" s="44">
        <v>61</v>
      </c>
      <c r="G5" s="5"/>
    </row>
    <row r="6" spans="1:24" ht="14.25" hidden="1" x14ac:dyDescent="0.2">
      <c r="B6" s="46" t="s">
        <v>103</v>
      </c>
      <c r="C6" s="46" t="s">
        <v>90</v>
      </c>
      <c r="D6" s="58"/>
      <c r="E6" s="58"/>
      <c r="F6" s="58"/>
      <c r="G6" s="58"/>
      <c r="H6" s="58"/>
      <c r="I6" s="58"/>
      <c r="J6" s="58"/>
      <c r="K6" s="58"/>
    </row>
    <row r="7" spans="1:24" hidden="1" x14ac:dyDescent="0.2">
      <c r="B7" s="25">
        <f>'Расчет Стсо'!$G$6*'Расчет Стсо'!$C$6+'Расчет Стсо'!$G$12*'Расчет Стсо'!$C$12+'Расчет Стсо'!$C$18*'Расчет Стсо'!$G$18+'Расчет Стсо'!$C$24*'Расчет Стсо'!$G$24+C7</f>
        <v>0</v>
      </c>
      <c r="C7" s="45">
        <v>0</v>
      </c>
      <c r="D7" s="59"/>
      <c r="E7" s="59"/>
      <c r="F7" s="59"/>
      <c r="G7" s="59"/>
      <c r="H7" s="59"/>
      <c r="I7" s="59"/>
      <c r="J7" s="59"/>
      <c r="K7" s="60"/>
    </row>
    <row r="8" spans="1:24" ht="14.25" hidden="1" x14ac:dyDescent="0.2">
      <c r="B8" s="51" t="s">
        <v>104</v>
      </c>
      <c r="C8" s="46" t="s">
        <v>105</v>
      </c>
      <c r="D8" s="46" t="s">
        <v>92</v>
      </c>
      <c r="G8" s="5"/>
    </row>
    <row r="9" spans="1:24" hidden="1" x14ac:dyDescent="0.2">
      <c r="B9" s="50">
        <f>C9*D9</f>
        <v>0</v>
      </c>
      <c r="C9" s="50"/>
      <c r="D9" s="50"/>
      <c r="G9" s="5"/>
    </row>
    <row r="10" spans="1:24" x14ac:dyDescent="0.2">
      <c r="A10" s="153" t="s">
        <v>182</v>
      </c>
      <c r="B10" s="153" t="s">
        <v>57</v>
      </c>
      <c r="C10" s="153" t="s">
        <v>56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</row>
    <row r="11" spans="1:24" ht="51" x14ac:dyDescent="0.2">
      <c r="A11" s="153"/>
      <c r="B11" s="153"/>
      <c r="C11" s="46" t="s">
        <v>181</v>
      </c>
      <c r="D11" s="65" t="s">
        <v>125</v>
      </c>
      <c r="E11" s="46" t="s">
        <v>0</v>
      </c>
      <c r="F11" s="46" t="s">
        <v>19</v>
      </c>
      <c r="G11" s="46" t="s">
        <v>29</v>
      </c>
      <c r="H11" s="46" t="s">
        <v>30</v>
      </c>
      <c r="I11" s="46" t="s">
        <v>31</v>
      </c>
      <c r="J11" s="46" t="s">
        <v>32</v>
      </c>
      <c r="K11" s="46" t="s">
        <v>33</v>
      </c>
      <c r="L11" s="46"/>
      <c r="M11" s="65" t="s">
        <v>180</v>
      </c>
      <c r="N11" s="46"/>
      <c r="O11" s="65" t="s">
        <v>179</v>
      </c>
      <c r="Q11" s="65" t="s">
        <v>169</v>
      </c>
      <c r="R11" s="44" t="s">
        <v>170</v>
      </c>
      <c r="S11" s="44" t="s">
        <v>171</v>
      </c>
      <c r="T11" s="44" t="s">
        <v>172</v>
      </c>
      <c r="U11" s="44" t="s">
        <v>173</v>
      </c>
      <c r="V11" s="44" t="s">
        <v>174</v>
      </c>
      <c r="W11" s="44" t="s">
        <v>178</v>
      </c>
      <c r="X11" s="44" t="s">
        <v>176</v>
      </c>
    </row>
    <row r="12" spans="1:24" ht="12.75" customHeight="1" x14ac:dyDescent="0.2">
      <c r="A12" s="185" t="s">
        <v>185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7"/>
      <c r="Q12" s="75">
        <f>($P$16+$P$18+$P$17)*E12</f>
        <v>0</v>
      </c>
      <c r="R12" s="75">
        <f t="shared" ref="R12:R13" si="0">Q12*0.302</f>
        <v>0</v>
      </c>
      <c r="S12" s="75">
        <f t="shared" ref="S12:S13" si="1">Q12+R12+X12</f>
        <v>0</v>
      </c>
      <c r="T12" s="75">
        <f t="shared" ref="T12:T13" si="2">S12*0.2</f>
        <v>0</v>
      </c>
      <c r="U12" s="75">
        <f t="shared" ref="U12:U13" si="3">(S12+T12)*0.05</f>
        <v>0</v>
      </c>
      <c r="V12" s="75">
        <f t="shared" ref="V12:V13" si="4">(S12+T12+U12)*6.88*1</f>
        <v>0</v>
      </c>
      <c r="W12" s="75">
        <f t="shared" ref="W12:W13" si="5">V12/730</f>
        <v>0</v>
      </c>
      <c r="X12" s="75">
        <f t="shared" ref="X12:X13" si="6">Q12*0.065</f>
        <v>0</v>
      </c>
    </row>
    <row r="13" spans="1:24" x14ac:dyDescent="0.2">
      <c r="A13" s="76" t="s">
        <v>183</v>
      </c>
      <c r="B13" s="77" t="s">
        <v>184</v>
      </c>
      <c r="C13" s="66">
        <v>732</v>
      </c>
      <c r="D13" s="67">
        <v>24</v>
      </c>
      <c r="E13" s="68">
        <f t="shared" ref="E13" si="7">IF(SUM(G13:K13)&gt;0.35,F13+0.35,SUM(F13:K13))</f>
        <v>1.35</v>
      </c>
      <c r="F13" s="68">
        <f>IF(D13=24,$E$39,IF(D13=12,$E$40,IF(D13=9,2-(0.0417*9),IF(D13=10,2-0.0417*10))))</f>
        <v>1</v>
      </c>
      <c r="G13" s="69">
        <v>0</v>
      </c>
      <c r="H13" s="69">
        <v>0.2</v>
      </c>
      <c r="I13" s="69">
        <v>0.3</v>
      </c>
      <c r="J13" s="69">
        <v>0.1</v>
      </c>
      <c r="K13" s="69">
        <v>0</v>
      </c>
      <c r="L13" s="45">
        <f t="shared" ref="L13" si="8">W13</f>
        <v>370.00235617991012</v>
      </c>
      <c r="M13" s="70">
        <f t="shared" ref="M13" si="9">W13*C13</f>
        <v>270841.72472369421</v>
      </c>
      <c r="N13" s="70"/>
      <c r="O13" s="70">
        <f t="shared" ref="O13" si="10">(M13)*1*1.2</f>
        <v>325010.06966843305</v>
      </c>
      <c r="Q13" s="75">
        <f>($P$16+$P$18+$P$17)*E13</f>
        <v>22792.914000000001</v>
      </c>
      <c r="R13" s="75">
        <f t="shared" si="0"/>
        <v>6883.4600280000004</v>
      </c>
      <c r="S13" s="75">
        <f t="shared" si="1"/>
        <v>31157.913438000003</v>
      </c>
      <c r="T13" s="75">
        <f t="shared" si="2"/>
        <v>6231.582687600001</v>
      </c>
      <c r="U13" s="75">
        <f t="shared" si="3"/>
        <v>1869.4748062800002</v>
      </c>
      <c r="V13" s="75">
        <f t="shared" si="4"/>
        <v>270101.7200113344</v>
      </c>
      <c r="W13" s="75">
        <f t="shared" si="5"/>
        <v>370.00235617991012</v>
      </c>
      <c r="X13" s="75">
        <f t="shared" si="6"/>
        <v>1481.5394100000001</v>
      </c>
    </row>
    <row r="14" spans="1:24" ht="13.5" thickBot="1" x14ac:dyDescent="0.25">
      <c r="A14" s="78"/>
      <c r="B14" s="79"/>
      <c r="C14" s="82"/>
      <c r="D14" s="80"/>
      <c r="E14" s="83"/>
      <c r="F14" s="83"/>
      <c r="G14" s="83"/>
      <c r="H14" s="83"/>
      <c r="I14" s="83"/>
      <c r="J14" s="83"/>
      <c r="K14" s="83"/>
      <c r="L14" s="60"/>
      <c r="M14" s="80"/>
      <c r="N14" s="80"/>
      <c r="O14" s="80"/>
      <c r="Q14" s="81"/>
      <c r="R14" s="81"/>
      <c r="S14" s="81"/>
      <c r="T14" s="81"/>
      <c r="U14" s="81"/>
      <c r="V14" s="81"/>
      <c r="W14" s="81"/>
      <c r="X14" s="81"/>
    </row>
    <row r="15" spans="1:24" ht="13.5" thickBot="1" x14ac:dyDescent="0.25">
      <c r="B15" s="89" t="s">
        <v>124</v>
      </c>
      <c r="C15" s="11"/>
      <c r="D15" s="11"/>
      <c r="G15" s="5"/>
    </row>
    <row r="16" spans="1:24" ht="18.75" customHeight="1" outlineLevel="1" x14ac:dyDescent="0.2">
      <c r="B16" s="90" t="s">
        <v>175</v>
      </c>
      <c r="C16" s="183" t="s">
        <v>161</v>
      </c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86">
        <v>15279</v>
      </c>
    </row>
    <row r="17" spans="2:16" ht="13.5" customHeight="1" outlineLevel="1" x14ac:dyDescent="0.2">
      <c r="B17" s="90" t="s">
        <v>133</v>
      </c>
      <c r="C17" s="181" t="s">
        <v>163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87">
        <f>ROUND(P16*14/365,2)</f>
        <v>586.04</v>
      </c>
    </row>
    <row r="18" spans="2:16" ht="14.25" customHeight="1" outlineLevel="1" x14ac:dyDescent="0.2">
      <c r="B18" s="90" t="s">
        <v>3</v>
      </c>
      <c r="C18" s="181" t="s">
        <v>162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87">
        <f>ROUND(P16*0.2/3,2)</f>
        <v>1018.6</v>
      </c>
    </row>
    <row r="19" spans="2:16" ht="17.25" customHeight="1" outlineLevel="1" thickBot="1" x14ac:dyDescent="0.25">
      <c r="B19" s="91" t="s">
        <v>164</v>
      </c>
      <c r="C19" s="188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88">
        <v>6.88</v>
      </c>
    </row>
    <row r="20" spans="2:16" ht="36" hidden="1" customHeight="1" outlineLevel="1" x14ac:dyDescent="0.2">
      <c r="B20" s="85" t="s">
        <v>165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84"/>
    </row>
    <row r="21" spans="2:16" ht="17.25" hidden="1" customHeight="1" outlineLevel="1" x14ac:dyDescent="0.2">
      <c r="B21" s="62"/>
      <c r="C21" s="182" t="s">
        <v>166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63"/>
    </row>
    <row r="22" spans="2:16" ht="28.5" hidden="1" customHeight="1" outlineLevel="1" x14ac:dyDescent="0.2">
      <c r="B22" s="64"/>
      <c r="C22" s="182" t="s">
        <v>168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63"/>
    </row>
    <row r="23" spans="2:16" ht="17.25" hidden="1" customHeight="1" outlineLevel="1" x14ac:dyDescent="0.2">
      <c r="B23" s="17"/>
      <c r="C23" s="182" t="s">
        <v>167</v>
      </c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74"/>
    </row>
    <row r="24" spans="2:16" ht="17.25" hidden="1" customHeight="1" outlineLevel="1" x14ac:dyDescent="0.2">
      <c r="B24" s="19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7"/>
      <c r="P24" s="73"/>
    </row>
    <row r="25" spans="2:16" ht="17.25" hidden="1" customHeight="1" outlineLevel="1" x14ac:dyDescent="0.2">
      <c r="B25" s="19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7"/>
      <c r="P25" s="73"/>
    </row>
    <row r="26" spans="2:16" ht="17.25" hidden="1" customHeight="1" outlineLevel="1" x14ac:dyDescent="0.2">
      <c r="B26" s="19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7"/>
      <c r="P26" s="73"/>
    </row>
    <row r="27" spans="2:16" ht="17.25" hidden="1" customHeight="1" outlineLevel="1" x14ac:dyDescent="0.2">
      <c r="B27" s="19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7"/>
      <c r="P27" s="73"/>
    </row>
    <row r="28" spans="2:16" ht="17.25" hidden="1" customHeight="1" outlineLevel="1" x14ac:dyDescent="0.2">
      <c r="B28" s="19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7"/>
      <c r="P28" s="73"/>
    </row>
    <row r="29" spans="2:16" ht="17.25" hidden="1" customHeight="1" outlineLevel="1" x14ac:dyDescent="0.2">
      <c r="B29" s="19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7"/>
      <c r="P29" s="73"/>
    </row>
    <row r="30" spans="2:16" ht="17.25" hidden="1" customHeight="1" outlineLevel="1" x14ac:dyDescent="0.2">
      <c r="B30" s="19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7"/>
      <c r="P30" s="73"/>
    </row>
    <row r="31" spans="2:16" ht="17.25" hidden="1" customHeight="1" outlineLevel="1" x14ac:dyDescent="0.2">
      <c r="B31" s="19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7"/>
      <c r="P31" s="73"/>
    </row>
    <row r="32" spans="2:16" ht="17.25" hidden="1" customHeight="1" outlineLevel="1" x14ac:dyDescent="0.2">
      <c r="B32" s="19"/>
      <c r="C32" s="130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2"/>
      <c r="P32" s="73"/>
    </row>
    <row r="33" spans="2:16" ht="17.25" hidden="1" customHeight="1" outlineLevel="1" x14ac:dyDescent="0.2">
      <c r="B33" s="19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  <c r="P33" s="73"/>
    </row>
    <row r="34" spans="2:16" ht="17.25" hidden="1" customHeight="1" outlineLevel="1" x14ac:dyDescent="0.2">
      <c r="B34" s="19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7"/>
      <c r="P34" s="73"/>
    </row>
    <row r="35" spans="2:16" ht="13.5" hidden="1" outlineLevel="1" thickBot="1" x14ac:dyDescent="0.25">
      <c r="B35" s="21"/>
      <c r="C35" s="22"/>
      <c r="D35" s="119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1"/>
      <c r="P35" s="73"/>
    </row>
    <row r="36" spans="2:16" hidden="1" outlineLevel="1" x14ac:dyDescent="0.2">
      <c r="B36" s="71" t="s">
        <v>177</v>
      </c>
      <c r="C36" s="72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4"/>
    </row>
    <row r="37" spans="2:16" ht="13.5" thickBot="1" x14ac:dyDescent="0.25">
      <c r="G37" s="5"/>
    </row>
    <row r="38" spans="2:16" ht="15.75" customHeight="1" thickBot="1" x14ac:dyDescent="0.25">
      <c r="B38" s="146" t="s">
        <v>21</v>
      </c>
      <c r="C38" s="147"/>
      <c r="D38" s="147"/>
      <c r="E38" s="148" t="s">
        <v>106</v>
      </c>
      <c r="F38" s="149"/>
      <c r="G38" s="149"/>
      <c r="H38" s="149"/>
      <c r="I38" s="149"/>
      <c r="J38" s="31"/>
    </row>
    <row r="39" spans="2:16" ht="13.5" customHeight="1" x14ac:dyDescent="0.2">
      <c r="B39" s="144" t="s">
        <v>23</v>
      </c>
      <c r="C39" s="145"/>
      <c r="D39" s="145"/>
      <c r="E39" s="150">
        <v>1</v>
      </c>
      <c r="F39" s="151"/>
      <c r="G39" s="151"/>
      <c r="H39" s="151"/>
      <c r="I39" s="151"/>
      <c r="J39" s="32" t="s">
        <v>19</v>
      </c>
    </row>
    <row r="40" spans="2:16" ht="12.75" customHeight="1" x14ac:dyDescent="0.2">
      <c r="B40" s="133" t="s">
        <v>25</v>
      </c>
      <c r="C40" s="134"/>
      <c r="D40" s="134"/>
      <c r="E40" s="140">
        <v>1.5</v>
      </c>
      <c r="F40" s="141"/>
      <c r="G40" s="141"/>
      <c r="H40" s="141"/>
      <c r="I40" s="141"/>
      <c r="J40" s="32" t="s">
        <v>19</v>
      </c>
    </row>
    <row r="41" spans="2:16" ht="15.75" customHeight="1" x14ac:dyDescent="0.2">
      <c r="B41" s="133" t="s">
        <v>27</v>
      </c>
      <c r="C41" s="134"/>
      <c r="D41" s="134"/>
      <c r="E41" s="140" t="s">
        <v>28</v>
      </c>
      <c r="F41" s="141"/>
      <c r="G41" s="141"/>
      <c r="H41" s="141"/>
      <c r="I41" s="141"/>
      <c r="J41" s="32" t="s">
        <v>19</v>
      </c>
    </row>
    <row r="42" spans="2:16" ht="32.25" customHeight="1" thickBot="1" x14ac:dyDescent="0.25">
      <c r="B42" s="135"/>
      <c r="C42" s="136"/>
      <c r="D42" s="136"/>
      <c r="E42" s="128" t="s">
        <v>107</v>
      </c>
      <c r="F42" s="128"/>
      <c r="G42" s="128"/>
      <c r="H42" s="128"/>
      <c r="I42" s="129"/>
      <c r="J42" s="33" t="s">
        <v>19</v>
      </c>
    </row>
    <row r="43" spans="2:16" ht="13.5" thickBot="1" x14ac:dyDescent="0.25"/>
    <row r="44" spans="2:16" s="23" customFormat="1" ht="15.75" customHeight="1" thickBot="1" x14ac:dyDescent="0.25">
      <c r="B44" s="160" t="s">
        <v>34</v>
      </c>
      <c r="C44" s="161"/>
      <c r="D44" s="162"/>
      <c r="E44" s="124" t="s">
        <v>43</v>
      </c>
      <c r="F44" s="125"/>
      <c r="G44" s="6"/>
    </row>
    <row r="45" spans="2:16" s="24" customFormat="1" ht="17.25" customHeight="1" x14ac:dyDescent="0.25">
      <c r="B45" s="144" t="s">
        <v>35</v>
      </c>
      <c r="C45" s="145"/>
      <c r="D45" s="145"/>
      <c r="E45" s="34">
        <v>0.05</v>
      </c>
      <c r="F45" s="39" t="s">
        <v>29</v>
      </c>
      <c r="G45" s="9"/>
    </row>
    <row r="46" spans="2:16" s="24" customFormat="1" ht="19.5" customHeight="1" x14ac:dyDescent="0.25">
      <c r="B46" s="133" t="s">
        <v>36</v>
      </c>
      <c r="C46" s="134"/>
      <c r="D46" s="134"/>
      <c r="E46" s="35">
        <v>0.2</v>
      </c>
      <c r="F46" s="37" t="s">
        <v>30</v>
      </c>
      <c r="G46" s="9"/>
    </row>
    <row r="47" spans="2:16" s="24" customFormat="1" ht="23.25" customHeight="1" x14ac:dyDescent="0.25">
      <c r="B47" s="133" t="s">
        <v>37</v>
      </c>
      <c r="C47" s="134"/>
      <c r="D47" s="134"/>
      <c r="E47" s="35">
        <v>0.3</v>
      </c>
      <c r="F47" s="37" t="s">
        <v>31</v>
      </c>
      <c r="G47" s="9"/>
    </row>
    <row r="48" spans="2:16" s="24" customFormat="1" ht="55.5" customHeight="1" x14ac:dyDescent="0.25">
      <c r="B48" s="133" t="s">
        <v>39</v>
      </c>
      <c r="C48" s="134"/>
      <c r="D48" s="134"/>
      <c r="E48" s="35">
        <v>0.1</v>
      </c>
      <c r="F48" s="37" t="s">
        <v>32</v>
      </c>
      <c r="G48" s="9"/>
    </row>
    <row r="49" spans="2:7" s="24" customFormat="1" ht="31.5" customHeight="1" thickBot="1" x14ac:dyDescent="0.3">
      <c r="B49" s="135" t="s">
        <v>41</v>
      </c>
      <c r="C49" s="136"/>
      <c r="D49" s="136"/>
      <c r="E49" s="36">
        <v>0.05</v>
      </c>
      <c r="F49" s="38" t="s">
        <v>33</v>
      </c>
      <c r="G49" s="9"/>
    </row>
  </sheetData>
  <mergeCells count="43">
    <mergeCell ref="D35:O35"/>
    <mergeCell ref="C30:O30"/>
    <mergeCell ref="C31:O31"/>
    <mergeCell ref="C32:O32"/>
    <mergeCell ref="C33:O33"/>
    <mergeCell ref="C34:O34"/>
    <mergeCell ref="B38:D38"/>
    <mergeCell ref="E38:I38"/>
    <mergeCell ref="B39:D39"/>
    <mergeCell ref="E39:I39"/>
    <mergeCell ref="B40:D40"/>
    <mergeCell ref="E40:I40"/>
    <mergeCell ref="B49:D49"/>
    <mergeCell ref="B41:D42"/>
    <mergeCell ref="E41:I41"/>
    <mergeCell ref="E42:I42"/>
    <mergeCell ref="B44:D44"/>
    <mergeCell ref="E44:F44"/>
    <mergeCell ref="B45:D45"/>
    <mergeCell ref="B46:D46"/>
    <mergeCell ref="B47:D47"/>
    <mergeCell ref="B48:D48"/>
    <mergeCell ref="C28:O28"/>
    <mergeCell ref="C29:O29"/>
    <mergeCell ref="C18:O18"/>
    <mergeCell ref="C19:O19"/>
    <mergeCell ref="C20:O20"/>
    <mergeCell ref="C21:O21"/>
    <mergeCell ref="C23:O23"/>
    <mergeCell ref="C22:O22"/>
    <mergeCell ref="C24:O24"/>
    <mergeCell ref="C25:O25"/>
    <mergeCell ref="C26:O26"/>
    <mergeCell ref="C27:O27"/>
    <mergeCell ref="A10:A11"/>
    <mergeCell ref="C17:O17"/>
    <mergeCell ref="C16:O16"/>
    <mergeCell ref="B2:O2"/>
    <mergeCell ref="N3:O3"/>
    <mergeCell ref="B10:B11"/>
    <mergeCell ref="C10:D10"/>
    <mergeCell ref="E10:O10"/>
    <mergeCell ref="A12:O12"/>
  </mergeCells>
  <phoneticPr fontId="17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Лист1!$A$1:$A$3</xm:f>
          </x14:formula1>
          <xm:sqref>D13:D14</xm:sqref>
        </x14:dataValidation>
        <x14:dataValidation type="list" allowBlank="1" showInputMessage="1" showErrorMessage="1" xr:uid="{00000000-0002-0000-0200-000001000000}">
          <x14:formula1>
            <xm:f>Лист1!$A$7:$A$12</xm:f>
          </x14:formula1>
          <xm:sqref>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48"/>
  <sheetViews>
    <sheetView workbookViewId="0">
      <selection activeCell="B7" sqref="B7"/>
    </sheetView>
  </sheetViews>
  <sheetFormatPr defaultRowHeight="15" x14ac:dyDescent="0.25"/>
  <cols>
    <col min="1" max="1" width="18.42578125" customWidth="1"/>
    <col min="3" max="3" width="17.5703125" customWidth="1"/>
  </cols>
  <sheetData>
    <row r="2" spans="1:3" x14ac:dyDescent="0.25">
      <c r="A2">
        <v>2024</v>
      </c>
      <c r="B2">
        <v>1</v>
      </c>
    </row>
    <row r="3" spans="1:3" x14ac:dyDescent="0.25">
      <c r="A3">
        <v>2025</v>
      </c>
      <c r="B3">
        <f>ИПЦ!E4/100</f>
        <v>1.0362336879602037</v>
      </c>
    </row>
    <row r="4" spans="1:3" x14ac:dyDescent="0.25">
      <c r="A4" t="s">
        <v>226</v>
      </c>
      <c r="B4">
        <f>AVERAGE(ИПЦ!$D$4:$E$4)/100</f>
        <v>1.0453364377452989</v>
      </c>
    </row>
    <row r="5" spans="1:3" x14ac:dyDescent="0.25">
      <c r="A5" t="s">
        <v>229</v>
      </c>
      <c r="B5">
        <f>AVERAGE(ИПЦ!$D$4:$F$4)/100</f>
        <v>1.0434008794414888</v>
      </c>
    </row>
    <row r="6" spans="1:3" x14ac:dyDescent="0.25">
      <c r="A6" t="s">
        <v>230</v>
      </c>
      <c r="B6">
        <f>AVERAGE(ИПЦ!E4:F4)/100</f>
        <v>1.0378817253970363</v>
      </c>
    </row>
    <row r="10" spans="1:3" x14ac:dyDescent="0.25">
      <c r="C10" s="101" t="e">
        <f>AVERAGE(#REF!,B7)</f>
        <v>#REF!</v>
      </c>
    </row>
    <row r="11" spans="1:3" x14ac:dyDescent="0.25">
      <c r="A11" t="s">
        <v>128</v>
      </c>
      <c r="B11">
        <v>14</v>
      </c>
    </row>
    <row r="12" spans="1:3" x14ac:dyDescent="0.25">
      <c r="A12" t="s">
        <v>129</v>
      </c>
      <c r="B12">
        <v>14</v>
      </c>
    </row>
    <row r="13" spans="1:3" x14ac:dyDescent="0.25">
      <c r="A13" t="s">
        <v>130</v>
      </c>
    </row>
    <row r="14" spans="1:3" x14ac:dyDescent="0.25">
      <c r="A14" t="s">
        <v>131</v>
      </c>
    </row>
    <row r="15" spans="1:3" x14ac:dyDescent="0.25">
      <c r="A15" t="s">
        <v>132</v>
      </c>
    </row>
    <row r="17" spans="1:3" x14ac:dyDescent="0.25">
      <c r="A17">
        <v>1</v>
      </c>
      <c r="C17" t="s">
        <v>188</v>
      </c>
    </row>
    <row r="18" spans="1:3" x14ac:dyDescent="0.25">
      <c r="A18">
        <v>2</v>
      </c>
      <c r="C18" t="s">
        <v>196</v>
      </c>
    </row>
    <row r="19" spans="1:3" x14ac:dyDescent="0.25">
      <c r="A19">
        <v>3</v>
      </c>
      <c r="C19" t="s">
        <v>197</v>
      </c>
    </row>
    <row r="20" spans="1:3" x14ac:dyDescent="0.25">
      <c r="A20">
        <v>4</v>
      </c>
      <c r="C20" t="s">
        <v>198</v>
      </c>
    </row>
    <row r="21" spans="1:3" x14ac:dyDescent="0.25">
      <c r="A21">
        <v>5</v>
      </c>
      <c r="C21" t="s">
        <v>189</v>
      </c>
    </row>
    <row r="22" spans="1:3" x14ac:dyDescent="0.25">
      <c r="A22">
        <v>6</v>
      </c>
      <c r="C22" t="s">
        <v>192</v>
      </c>
    </row>
    <row r="23" spans="1:3" x14ac:dyDescent="0.25">
      <c r="A23">
        <v>7</v>
      </c>
      <c r="C23" t="s">
        <v>193</v>
      </c>
    </row>
    <row r="24" spans="1:3" x14ac:dyDescent="0.25">
      <c r="A24">
        <v>8</v>
      </c>
      <c r="C24" t="s">
        <v>199</v>
      </c>
    </row>
    <row r="25" spans="1:3" x14ac:dyDescent="0.25">
      <c r="A25">
        <v>9</v>
      </c>
      <c r="C25" t="s">
        <v>190</v>
      </c>
    </row>
    <row r="26" spans="1:3" x14ac:dyDescent="0.25">
      <c r="A26">
        <v>10</v>
      </c>
      <c r="C26" t="s">
        <v>216</v>
      </c>
    </row>
    <row r="27" spans="1:3" x14ac:dyDescent="0.25">
      <c r="A27">
        <v>11</v>
      </c>
      <c r="C27" t="s">
        <v>200</v>
      </c>
    </row>
    <row r="28" spans="1:3" x14ac:dyDescent="0.25">
      <c r="A28">
        <v>12</v>
      </c>
      <c r="C28" t="s">
        <v>201</v>
      </c>
    </row>
    <row r="29" spans="1:3" x14ac:dyDescent="0.25">
      <c r="A29">
        <v>13</v>
      </c>
      <c r="C29" t="s">
        <v>191</v>
      </c>
    </row>
    <row r="30" spans="1:3" x14ac:dyDescent="0.25">
      <c r="A30">
        <v>14</v>
      </c>
      <c r="C30" t="s">
        <v>217</v>
      </c>
    </row>
    <row r="31" spans="1:3" x14ac:dyDescent="0.25">
      <c r="A31">
        <v>15</v>
      </c>
      <c r="C31" t="s">
        <v>202</v>
      </c>
    </row>
    <row r="32" spans="1:3" x14ac:dyDescent="0.25">
      <c r="A32">
        <v>16</v>
      </c>
      <c r="C32" t="s">
        <v>215</v>
      </c>
    </row>
    <row r="33" spans="1:3" x14ac:dyDescent="0.25">
      <c r="A33">
        <v>17</v>
      </c>
      <c r="C33" t="s">
        <v>203</v>
      </c>
    </row>
    <row r="34" spans="1:3" x14ac:dyDescent="0.25">
      <c r="A34">
        <v>18</v>
      </c>
      <c r="C34" t="s">
        <v>218</v>
      </c>
    </row>
    <row r="35" spans="1:3" x14ac:dyDescent="0.25">
      <c r="A35">
        <v>19</v>
      </c>
      <c r="C35" t="s">
        <v>204</v>
      </c>
    </row>
    <row r="36" spans="1:3" x14ac:dyDescent="0.25">
      <c r="A36">
        <v>20</v>
      </c>
      <c r="C36" t="s">
        <v>214</v>
      </c>
    </row>
    <row r="37" spans="1:3" x14ac:dyDescent="0.25">
      <c r="A37">
        <v>21</v>
      </c>
      <c r="C37" t="s">
        <v>205</v>
      </c>
    </row>
    <row r="38" spans="1:3" x14ac:dyDescent="0.25">
      <c r="A38">
        <v>22</v>
      </c>
      <c r="C38" t="s">
        <v>219</v>
      </c>
    </row>
    <row r="39" spans="1:3" x14ac:dyDescent="0.25">
      <c r="A39">
        <v>23</v>
      </c>
      <c r="C39" t="s">
        <v>207</v>
      </c>
    </row>
    <row r="40" spans="1:3" x14ac:dyDescent="0.25">
      <c r="A40">
        <v>24</v>
      </c>
      <c r="C40" t="s">
        <v>213</v>
      </c>
    </row>
    <row r="41" spans="1:3" x14ac:dyDescent="0.25">
      <c r="C41" t="s">
        <v>208</v>
      </c>
    </row>
    <row r="42" spans="1:3" x14ac:dyDescent="0.25">
      <c r="C42" t="s">
        <v>220</v>
      </c>
    </row>
    <row r="43" spans="1:3" x14ac:dyDescent="0.25">
      <c r="C43" t="s">
        <v>206</v>
      </c>
    </row>
    <row r="44" spans="1:3" x14ac:dyDescent="0.25">
      <c r="C44" t="s">
        <v>212</v>
      </c>
    </row>
    <row r="45" spans="1:3" x14ac:dyDescent="0.25">
      <c r="C45" t="s">
        <v>209</v>
      </c>
    </row>
    <row r="46" spans="1:3" x14ac:dyDescent="0.25">
      <c r="C46" t="s">
        <v>221</v>
      </c>
    </row>
    <row r="47" spans="1:3" x14ac:dyDescent="0.25">
      <c r="C47" t="s">
        <v>210</v>
      </c>
    </row>
    <row r="48" spans="1:3" x14ac:dyDescent="0.25">
      <c r="C48" t="s">
        <v>211</v>
      </c>
    </row>
  </sheetData>
  <phoneticPr fontId="1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workbookViewId="0">
      <selection activeCell="A6" sqref="A6:XFD29"/>
    </sheetView>
  </sheetViews>
  <sheetFormatPr defaultRowHeight="15" x14ac:dyDescent="0.25"/>
  <cols>
    <col min="1" max="1" width="69.42578125" style="1" customWidth="1"/>
    <col min="2" max="2" width="11" style="1" customWidth="1"/>
    <col min="3" max="5" width="14.28515625" style="1" bestFit="1" customWidth="1"/>
    <col min="6" max="16384" width="9.140625" style="1"/>
  </cols>
  <sheetData>
    <row r="1" spans="1:6" ht="15.75" x14ac:dyDescent="0.25">
      <c r="A1" s="191" t="s">
        <v>110</v>
      </c>
      <c r="B1" s="116">
        <v>2022</v>
      </c>
      <c r="C1" s="116">
        <f>B1+1</f>
        <v>2023</v>
      </c>
      <c r="D1" s="116">
        <f t="shared" ref="D1:F1" si="0">C1+1</f>
        <v>2024</v>
      </c>
      <c r="E1" s="116">
        <f t="shared" si="0"/>
        <v>2025</v>
      </c>
      <c r="F1" s="116">
        <f t="shared" si="0"/>
        <v>2026</v>
      </c>
    </row>
    <row r="2" spans="1:6" ht="15" customHeight="1" x14ac:dyDescent="0.25">
      <c r="A2" s="192"/>
      <c r="B2" s="117" t="s">
        <v>227</v>
      </c>
      <c r="C2" s="117" t="s">
        <v>111</v>
      </c>
      <c r="D2" s="193" t="s">
        <v>228</v>
      </c>
      <c r="E2" s="194"/>
      <c r="F2" s="195"/>
    </row>
    <row r="3" spans="1:6" ht="28.5" x14ac:dyDescent="0.25">
      <c r="A3" s="26" t="s">
        <v>123</v>
      </c>
      <c r="B3" s="197"/>
      <c r="C3" s="197"/>
      <c r="D3" s="197"/>
      <c r="E3" s="197"/>
      <c r="F3" s="197"/>
    </row>
    <row r="4" spans="1:6" x14ac:dyDescent="0.25">
      <c r="A4" s="27" t="s">
        <v>112</v>
      </c>
      <c r="B4" s="118">
        <v>111.94</v>
      </c>
      <c r="C4" s="118">
        <v>107.95876397277351</v>
      </c>
      <c r="D4" s="118">
        <v>105.44391875303943</v>
      </c>
      <c r="E4" s="118">
        <v>103.62336879602036</v>
      </c>
      <c r="F4" s="118">
        <v>103.95297628338689</v>
      </c>
    </row>
    <row r="5" spans="1:6" x14ac:dyDescent="0.25">
      <c r="A5" s="28" t="s">
        <v>113</v>
      </c>
      <c r="B5" s="118">
        <v>113.77</v>
      </c>
      <c r="C5" s="118">
        <v>105.88940314264018</v>
      </c>
      <c r="D5" s="118">
        <v>108.20292435567262</v>
      </c>
      <c r="E5" s="118">
        <v>103.99700345950798</v>
      </c>
      <c r="F5" s="118">
        <v>103.93893179375044</v>
      </c>
    </row>
    <row r="6" spans="1:6" hidden="1" x14ac:dyDescent="0.25">
      <c r="A6" s="29" t="s">
        <v>114</v>
      </c>
      <c r="B6" s="196"/>
      <c r="C6" s="196"/>
      <c r="D6" s="196"/>
      <c r="E6" s="196"/>
      <c r="F6" s="196"/>
    </row>
    <row r="7" spans="1:6" hidden="1" x14ac:dyDescent="0.25">
      <c r="A7" s="27" t="s">
        <v>112</v>
      </c>
      <c r="B7" s="118">
        <v>111.47</v>
      </c>
      <c r="C7" s="118">
        <v>107.94926457143633</v>
      </c>
      <c r="D7" s="118">
        <v>105.16069959917736</v>
      </c>
      <c r="E7" s="118">
        <v>103.40451074739957</v>
      </c>
      <c r="F7" s="118">
        <v>104.00838213886473</v>
      </c>
    </row>
    <row r="8" spans="1:6" hidden="1" x14ac:dyDescent="0.25">
      <c r="A8" s="28" t="s">
        <v>113</v>
      </c>
      <c r="B8" s="118">
        <v>115.07488312725178</v>
      </c>
      <c r="C8" s="118">
        <v>104.3388997549329</v>
      </c>
      <c r="D8" s="118">
        <v>108.885997383358</v>
      </c>
      <c r="E8" s="118">
        <v>103.47123270972392</v>
      </c>
      <c r="F8" s="118">
        <v>103.88945657174804</v>
      </c>
    </row>
    <row r="9" spans="1:6" hidden="1" x14ac:dyDescent="0.25">
      <c r="A9" s="29" t="s">
        <v>115</v>
      </c>
      <c r="B9" s="196"/>
      <c r="C9" s="196"/>
      <c r="D9" s="196"/>
      <c r="E9" s="196"/>
      <c r="F9" s="196"/>
    </row>
    <row r="10" spans="1:6" hidden="1" x14ac:dyDescent="0.25">
      <c r="A10" s="27" t="s">
        <v>112</v>
      </c>
      <c r="B10" s="118">
        <v>110.29</v>
      </c>
      <c r="C10" s="118">
        <v>105.92324715446287</v>
      </c>
      <c r="D10" s="118">
        <v>104.96648433362419</v>
      </c>
      <c r="E10" s="118">
        <v>103.64393651770504</v>
      </c>
      <c r="F10" s="118">
        <v>103.91279436199717</v>
      </c>
    </row>
    <row r="11" spans="1:6" hidden="1" x14ac:dyDescent="0.25">
      <c r="A11" s="28" t="s">
        <v>116</v>
      </c>
      <c r="B11" s="118">
        <v>114.92167529243275</v>
      </c>
      <c r="C11" s="118">
        <v>103.73438105466775</v>
      </c>
      <c r="D11" s="118">
        <v>106.81922832028556</v>
      </c>
      <c r="E11" s="118">
        <v>103.8202811898056</v>
      </c>
      <c r="F11" s="118">
        <v>103.90921661229247</v>
      </c>
    </row>
    <row r="12" spans="1:6" hidden="1" x14ac:dyDescent="0.25">
      <c r="A12" s="30" t="s">
        <v>117</v>
      </c>
      <c r="B12" s="196"/>
      <c r="C12" s="196"/>
      <c r="D12" s="196"/>
      <c r="E12" s="196"/>
      <c r="F12" s="196"/>
    </row>
    <row r="13" spans="1:6" hidden="1" x14ac:dyDescent="0.25">
      <c r="A13" s="27" t="s">
        <v>112</v>
      </c>
      <c r="B13" s="118">
        <v>111.97</v>
      </c>
      <c r="C13" s="118">
        <v>103.96982709174934</v>
      </c>
      <c r="D13" s="118">
        <v>104.39022702887598</v>
      </c>
      <c r="E13" s="118">
        <v>103.54239775316302</v>
      </c>
      <c r="F13" s="118">
        <v>103.87845492158544</v>
      </c>
    </row>
    <row r="14" spans="1:6" hidden="1" x14ac:dyDescent="0.25">
      <c r="A14" s="28" t="s">
        <v>116</v>
      </c>
      <c r="B14" s="118">
        <v>115.51382938646427</v>
      </c>
      <c r="C14" s="118">
        <v>103.46710904435008</v>
      </c>
      <c r="D14" s="118">
        <v>105.17439810459433</v>
      </c>
      <c r="E14" s="118">
        <v>103.79603541698279</v>
      </c>
      <c r="F14" s="118">
        <v>103.8693172687853</v>
      </c>
    </row>
    <row r="15" spans="1:6" hidden="1" x14ac:dyDescent="0.25">
      <c r="A15" s="29" t="s">
        <v>118</v>
      </c>
      <c r="B15" s="196"/>
      <c r="C15" s="196"/>
      <c r="D15" s="196"/>
      <c r="E15" s="196"/>
      <c r="F15" s="196"/>
    </row>
    <row r="16" spans="1:6" hidden="1" x14ac:dyDescent="0.25">
      <c r="A16" s="27" t="s">
        <v>112</v>
      </c>
      <c r="B16" s="118">
        <v>112.7</v>
      </c>
      <c r="C16" s="118">
        <v>110.10407264884411</v>
      </c>
      <c r="D16" s="118">
        <v>105.36875263329527</v>
      </c>
      <c r="E16" s="118">
        <v>103.14802597615268</v>
      </c>
      <c r="F16" s="118">
        <v>104.11078051082195</v>
      </c>
    </row>
    <row r="17" spans="1:6" hidden="1" x14ac:dyDescent="0.25">
      <c r="A17" s="28" t="s">
        <v>116</v>
      </c>
      <c r="B17" s="118">
        <v>115.19400460430388</v>
      </c>
      <c r="C17" s="118">
        <v>104.96733849352304</v>
      </c>
      <c r="D17" s="118">
        <v>111.08932006048444</v>
      </c>
      <c r="E17" s="118">
        <v>103.09763284169075</v>
      </c>
      <c r="F17" s="118">
        <v>103.86867651747926</v>
      </c>
    </row>
    <row r="18" spans="1:6" hidden="1" x14ac:dyDescent="0.25">
      <c r="A18" s="30" t="s">
        <v>119</v>
      </c>
      <c r="B18" s="196"/>
      <c r="C18" s="196"/>
      <c r="D18" s="196"/>
      <c r="E18" s="196"/>
      <c r="F18" s="196"/>
    </row>
    <row r="19" spans="1:6" hidden="1" x14ac:dyDescent="0.25">
      <c r="A19" s="27" t="s">
        <v>112</v>
      </c>
      <c r="B19" s="118">
        <v>113.06366145833339</v>
      </c>
      <c r="C19" s="118">
        <v>110.02025714020728</v>
      </c>
      <c r="D19" s="118">
        <v>105.40949602682805</v>
      </c>
      <c r="E19" s="118">
        <v>103.11861662713255</v>
      </c>
      <c r="F19" s="118">
        <v>104.11341451666964</v>
      </c>
    </row>
    <row r="20" spans="1:6" hidden="1" x14ac:dyDescent="0.25">
      <c r="A20" s="28" t="s">
        <v>116</v>
      </c>
      <c r="B20" s="118">
        <v>115.53680059542376</v>
      </c>
      <c r="C20" s="118">
        <v>104.96332844173666</v>
      </c>
      <c r="D20" s="118">
        <v>111.13267433005814</v>
      </c>
      <c r="E20" s="118">
        <v>103.06731658786792</v>
      </c>
      <c r="F20" s="118">
        <v>103.86374893287066</v>
      </c>
    </row>
    <row r="21" spans="1:6" hidden="1" x14ac:dyDescent="0.25">
      <c r="A21" s="29" t="s">
        <v>120</v>
      </c>
      <c r="B21" s="196"/>
      <c r="C21" s="196"/>
      <c r="D21" s="196"/>
      <c r="E21" s="196"/>
      <c r="F21" s="196"/>
    </row>
    <row r="22" spans="1:6" hidden="1" x14ac:dyDescent="0.25">
      <c r="A22" s="27" t="s">
        <v>112</v>
      </c>
      <c r="B22" s="118">
        <v>113.19</v>
      </c>
      <c r="C22" s="118">
        <v>108.01603943161584</v>
      </c>
      <c r="D22" s="118">
        <v>106.20053201046343</v>
      </c>
      <c r="E22" s="118">
        <v>104.20804288611058</v>
      </c>
      <c r="F22" s="118">
        <v>103.80496085356225</v>
      </c>
    </row>
    <row r="23" spans="1:6" hidden="1" x14ac:dyDescent="0.25">
      <c r="A23" s="28" t="s">
        <v>113</v>
      </c>
      <c r="B23" s="118">
        <v>110.06035241241143</v>
      </c>
      <c r="C23" s="118">
        <v>110.30341096791267</v>
      </c>
      <c r="D23" s="118">
        <v>106.41410269228106</v>
      </c>
      <c r="E23" s="118">
        <v>105.41131326977953</v>
      </c>
      <c r="F23" s="118">
        <v>104.06936083710509</v>
      </c>
    </row>
    <row r="24" spans="1:6" hidden="1" x14ac:dyDescent="0.25">
      <c r="A24" s="30" t="s">
        <v>121</v>
      </c>
      <c r="B24" s="196"/>
      <c r="C24" s="196"/>
      <c r="D24" s="196"/>
      <c r="E24" s="196"/>
      <c r="F24" s="196"/>
    </row>
    <row r="25" spans="1:6" hidden="1" x14ac:dyDescent="0.25">
      <c r="A25" s="27" t="s">
        <v>112</v>
      </c>
      <c r="B25" s="118">
        <v>111.57</v>
      </c>
      <c r="C25" s="118">
        <v>102.92879931909525</v>
      </c>
      <c r="D25" s="118">
        <v>110.0650727243909</v>
      </c>
      <c r="E25" s="118">
        <v>105.71961319156622</v>
      </c>
      <c r="F25" s="118">
        <v>103.97374823732008</v>
      </c>
    </row>
    <row r="26" spans="1:6" hidden="1" x14ac:dyDescent="0.25">
      <c r="A26" s="28" t="s">
        <v>116</v>
      </c>
      <c r="B26" s="118">
        <v>105.26180415194924</v>
      </c>
      <c r="C26" s="118">
        <v>109.90335407012057</v>
      </c>
      <c r="D26" s="118">
        <v>105.49192542132553</v>
      </c>
      <c r="E26" s="118">
        <v>108.52919251918118</v>
      </c>
      <c r="F26" s="118">
        <v>104.83923774854851</v>
      </c>
    </row>
    <row r="27" spans="1:6" hidden="1" x14ac:dyDescent="0.25">
      <c r="A27" s="30" t="s">
        <v>122</v>
      </c>
      <c r="B27" s="196"/>
      <c r="C27" s="196"/>
      <c r="D27" s="196"/>
      <c r="E27" s="196"/>
      <c r="F27" s="196"/>
    </row>
    <row r="28" spans="1:6" hidden="1" x14ac:dyDescent="0.25">
      <c r="A28" s="27" t="s">
        <v>112</v>
      </c>
      <c r="B28" s="118">
        <v>113.99953846153842</v>
      </c>
      <c r="C28" s="118">
        <v>110.43706807619806</v>
      </c>
      <c r="D28" s="118">
        <v>104.36957489282101</v>
      </c>
      <c r="E28" s="118">
        <v>103.49188523259782</v>
      </c>
      <c r="F28" s="118">
        <v>103.72499211095172</v>
      </c>
    </row>
    <row r="29" spans="1:6" hidden="1" x14ac:dyDescent="0.25">
      <c r="A29" s="28" t="s">
        <v>116</v>
      </c>
      <c r="B29" s="118">
        <v>112.47315977046266</v>
      </c>
      <c r="C29" s="118">
        <v>110.45763495079655</v>
      </c>
      <c r="D29" s="118">
        <v>106.79185642098261</v>
      </c>
      <c r="E29" s="118">
        <v>103.92256439684505</v>
      </c>
      <c r="F29" s="118">
        <v>103.70026491238976</v>
      </c>
    </row>
  </sheetData>
  <mergeCells count="11">
    <mergeCell ref="A1:A2"/>
    <mergeCell ref="D2:F2"/>
    <mergeCell ref="B27:F27"/>
    <mergeCell ref="B24:F24"/>
    <mergeCell ref="B21:F21"/>
    <mergeCell ref="B18:F18"/>
    <mergeCell ref="B15:F15"/>
    <mergeCell ref="B12:F12"/>
    <mergeCell ref="B9:F9"/>
    <mergeCell ref="B6:F6"/>
    <mergeCell ref="B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workbookViewId="0">
      <selection activeCell="B1" sqref="B1:C7"/>
    </sheetView>
  </sheetViews>
  <sheetFormatPr defaultColWidth="9.140625" defaultRowHeight="15" x14ac:dyDescent="0.25"/>
  <cols>
    <col min="1" max="1" width="6.140625" style="1" customWidth="1"/>
    <col min="2" max="2" width="210.7109375" style="1" customWidth="1"/>
    <col min="3" max="16384" width="9.140625" style="1"/>
  </cols>
  <sheetData>
    <row r="1" spans="1:3" x14ac:dyDescent="0.25">
      <c r="A1" s="2" t="s">
        <v>20</v>
      </c>
      <c r="B1" s="2" t="s">
        <v>34</v>
      </c>
      <c r="C1" s="2" t="s">
        <v>43</v>
      </c>
    </row>
    <row r="2" spans="1:3" x14ac:dyDescent="0.25">
      <c r="A2" s="2" t="s">
        <v>22</v>
      </c>
      <c r="B2" s="2" t="s">
        <v>35</v>
      </c>
      <c r="C2" s="2">
        <v>0.05</v>
      </c>
    </row>
    <row r="3" spans="1:3" x14ac:dyDescent="0.25">
      <c r="A3" s="2" t="s">
        <v>24</v>
      </c>
      <c r="B3" s="2" t="s">
        <v>36</v>
      </c>
      <c r="C3" s="2">
        <v>0.2</v>
      </c>
    </row>
    <row r="4" spans="1:3" x14ac:dyDescent="0.25">
      <c r="A4" s="2" t="s">
        <v>26</v>
      </c>
      <c r="B4" s="2" t="s">
        <v>37</v>
      </c>
      <c r="C4" s="2">
        <v>0.3</v>
      </c>
    </row>
    <row r="5" spans="1:3" x14ac:dyDescent="0.25">
      <c r="A5" s="2" t="s">
        <v>38</v>
      </c>
      <c r="B5" s="2" t="s">
        <v>39</v>
      </c>
      <c r="C5" s="2">
        <v>0.1</v>
      </c>
    </row>
    <row r="6" spans="1:3" x14ac:dyDescent="0.25">
      <c r="A6" s="2" t="s">
        <v>40</v>
      </c>
      <c r="B6" s="2" t="s">
        <v>41</v>
      </c>
      <c r="C6" s="2">
        <v>0.05</v>
      </c>
    </row>
    <row r="7" spans="1:3" x14ac:dyDescent="0.25">
      <c r="A7" s="2" t="s">
        <v>42</v>
      </c>
      <c r="B7" s="2"/>
      <c r="C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21"/>
  <sheetViews>
    <sheetView workbookViewId="0">
      <selection activeCell="D20" sqref="D20"/>
    </sheetView>
  </sheetViews>
  <sheetFormatPr defaultRowHeight="15" x14ac:dyDescent="0.25"/>
  <cols>
    <col min="2" max="2" width="31.140625" customWidth="1"/>
  </cols>
  <sheetData>
    <row r="2" spans="1:9" ht="16.5" x14ac:dyDescent="0.3">
      <c r="A2" s="2" t="s">
        <v>4</v>
      </c>
      <c r="B2" s="2" t="s">
        <v>12</v>
      </c>
    </row>
    <row r="3" spans="1:9" ht="16.5" x14ac:dyDescent="0.3">
      <c r="A3" s="2" t="s">
        <v>5</v>
      </c>
      <c r="B3" s="2" t="s">
        <v>13</v>
      </c>
    </row>
    <row r="4" spans="1:9" ht="16.5" x14ac:dyDescent="0.3">
      <c r="A4" s="2" t="s">
        <v>6</v>
      </c>
      <c r="B4" s="2" t="s">
        <v>14</v>
      </c>
    </row>
    <row r="5" spans="1:9" ht="16.5" x14ac:dyDescent="0.3">
      <c r="A5" s="2" t="s">
        <v>7</v>
      </c>
      <c r="B5" s="2" t="s">
        <v>15</v>
      </c>
    </row>
    <row r="7" spans="1:9" ht="16.5" x14ac:dyDescent="0.3">
      <c r="A7" s="2" t="s">
        <v>8</v>
      </c>
      <c r="B7" s="2" t="s">
        <v>16</v>
      </c>
    </row>
    <row r="8" spans="1:9" ht="16.5" x14ac:dyDescent="0.3">
      <c r="A8" s="2" t="s">
        <v>9</v>
      </c>
      <c r="B8" s="2" t="s">
        <v>18</v>
      </c>
    </row>
    <row r="9" spans="1:9" ht="16.5" x14ac:dyDescent="0.3">
      <c r="A9" s="2" t="s">
        <v>10</v>
      </c>
      <c r="B9" s="2" t="s">
        <v>17</v>
      </c>
    </row>
    <row r="10" spans="1:9" ht="16.5" x14ac:dyDescent="0.3">
      <c r="A10" s="2" t="s">
        <v>11</v>
      </c>
      <c r="B10" s="2" t="s">
        <v>47</v>
      </c>
    </row>
    <row r="12" spans="1:9" x14ac:dyDescent="0.25">
      <c r="B12" s="4">
        <v>44348</v>
      </c>
      <c r="D12" t="s">
        <v>49</v>
      </c>
    </row>
    <row r="13" spans="1:9" x14ac:dyDescent="0.25">
      <c r="B13" s="4">
        <v>44561</v>
      </c>
      <c r="D13">
        <f>_xlfn.DAYS(B13,B12)</f>
        <v>213</v>
      </c>
      <c r="E13" t="s">
        <v>50</v>
      </c>
      <c r="I13" s="3">
        <v>44361</v>
      </c>
    </row>
    <row r="14" spans="1:9" x14ac:dyDescent="0.25">
      <c r="D14">
        <f>NETWORKDAYS(B12,B13,I13:I14)</f>
        <v>152</v>
      </c>
      <c r="E14" t="s">
        <v>51</v>
      </c>
      <c r="I14" s="3">
        <v>44504</v>
      </c>
    </row>
    <row r="16" spans="1:9" x14ac:dyDescent="0.25">
      <c r="D16">
        <f>D13-D14-D15</f>
        <v>61</v>
      </c>
      <c r="E16" t="s">
        <v>52</v>
      </c>
    </row>
    <row r="19" spans="4:5" x14ac:dyDescent="0.25">
      <c r="D19" t="s">
        <v>53</v>
      </c>
    </row>
    <row r="20" spans="4:5" x14ac:dyDescent="0.25">
      <c r="D20">
        <f>D13*16</f>
        <v>3408</v>
      </c>
      <c r="E20" t="s">
        <v>54</v>
      </c>
    </row>
    <row r="21" spans="4:5" x14ac:dyDescent="0.25">
      <c r="D21">
        <f>D13*8</f>
        <v>1704</v>
      </c>
      <c r="E21" t="s">
        <v>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Расчет</vt:lpstr>
      <vt:lpstr>Расчет Стсо</vt:lpstr>
      <vt:lpstr>П3</vt:lpstr>
      <vt:lpstr>Лист1</vt:lpstr>
      <vt:lpstr>ИПЦ</vt:lpstr>
      <vt:lpstr>Таблица №2</vt:lpstr>
      <vt:lpstr>ДНИ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2024-04-17T07:42:32Z</dcterms:modified>
</cp:coreProperties>
</file>